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18780" windowHeight="11520" tabRatio="670" activeTab="2"/>
  </bookViews>
  <sheets>
    <sheet name="Bishopsgate Goods Yard" sheetId="4" r:id="rId1"/>
    <sheet name="Wood Wharf " sheetId="10" r:id="rId2"/>
    <sheet name="Westferry Printworks" sheetId="11" r:id="rId3"/>
  </sheets>
  <calcPr calcId="145621"/>
</workbook>
</file>

<file path=xl/calcChain.xml><?xml version="1.0" encoding="utf-8"?>
<calcChain xmlns="http://schemas.openxmlformats.org/spreadsheetml/2006/main">
  <c r="D89" i="4" l="1"/>
  <c r="D88" i="4"/>
  <c r="E30" i="11" l="1"/>
  <c r="B40" i="4" l="1"/>
  <c r="E32" i="10"/>
  <c r="B62" i="4"/>
  <c r="E30" i="4"/>
  <c r="D84" i="11" l="1"/>
  <c r="E53" i="11"/>
  <c r="G53" i="11" s="1"/>
  <c r="E54" i="11"/>
  <c r="I54" i="11" s="1"/>
  <c r="E55" i="11"/>
  <c r="H55" i="11" s="1"/>
  <c r="E52" i="11"/>
  <c r="G52" i="11" s="1"/>
  <c r="C18" i="11"/>
  <c r="F32" i="11" s="1"/>
  <c r="S53" i="11"/>
  <c r="B78" i="11" s="1"/>
  <c r="Q53" i="11"/>
  <c r="Q54" i="11"/>
  <c r="R54" i="11" s="1"/>
  <c r="Q55" i="11"/>
  <c r="R55" i="11" s="1"/>
  <c r="Q52" i="11"/>
  <c r="O53" i="11"/>
  <c r="P53" i="11" s="1"/>
  <c r="O54" i="11"/>
  <c r="P54" i="11" s="1"/>
  <c r="O55" i="11"/>
  <c r="P55" i="11" s="1"/>
  <c r="O52" i="11"/>
  <c r="B85" i="11"/>
  <c r="B64" i="11"/>
  <c r="T55" i="11"/>
  <c r="T54" i="11"/>
  <c r="R53" i="11"/>
  <c r="T52" i="11"/>
  <c r="T51" i="11"/>
  <c r="E21" i="11"/>
  <c r="H35" i="11" s="1"/>
  <c r="D21" i="11"/>
  <c r="G35" i="11" s="1"/>
  <c r="C21" i="11"/>
  <c r="F35" i="11" s="1"/>
  <c r="E20" i="11"/>
  <c r="H34" i="11" s="1"/>
  <c r="D20" i="11"/>
  <c r="C20" i="11"/>
  <c r="F34" i="11" s="1"/>
  <c r="E19" i="11"/>
  <c r="H33" i="11" s="1"/>
  <c r="D19" i="11"/>
  <c r="G33" i="11" s="1"/>
  <c r="C19" i="11"/>
  <c r="E18" i="11"/>
  <c r="H32" i="11" s="1"/>
  <c r="D18" i="11"/>
  <c r="G32" i="11" s="1"/>
  <c r="E35" i="11" l="1"/>
  <c r="I53" i="11"/>
  <c r="H54" i="11"/>
  <c r="B76" i="11"/>
  <c r="H53" i="11"/>
  <c r="T53" i="11"/>
  <c r="T56" i="11" s="1"/>
  <c r="H52" i="11"/>
  <c r="G54" i="11"/>
  <c r="R52" i="11"/>
  <c r="I52" i="11"/>
  <c r="G55" i="11"/>
  <c r="I55" i="11"/>
  <c r="B20" i="11"/>
  <c r="B18" i="11"/>
  <c r="Q56" i="11"/>
  <c r="B77" i="11"/>
  <c r="C22" i="11"/>
  <c r="E32" i="11"/>
  <c r="G34" i="11"/>
  <c r="E34" i="11" s="1"/>
  <c r="F33" i="11"/>
  <c r="E33" i="11" s="1"/>
  <c r="B19" i="11"/>
  <c r="B21" i="11"/>
  <c r="D22" i="11"/>
  <c r="E22" i="11"/>
  <c r="H36" i="11"/>
  <c r="H37" i="11" s="1"/>
  <c r="O56" i="11"/>
  <c r="S56" i="11"/>
  <c r="R56" i="11"/>
  <c r="P52" i="11"/>
  <c r="P56" i="11" s="1"/>
  <c r="F36" i="11" l="1"/>
  <c r="F37" i="11" s="1"/>
  <c r="G36" i="11"/>
  <c r="G37" i="11" s="1"/>
  <c r="M55" i="11" l="1"/>
  <c r="N55" i="11" s="1"/>
  <c r="M54" i="11"/>
  <c r="N54" i="11" s="1"/>
  <c r="M53" i="11"/>
  <c r="N53" i="11" s="1"/>
  <c r="M52" i="11"/>
  <c r="E36" i="11"/>
  <c r="E37" i="11" s="1"/>
  <c r="K55" i="11"/>
  <c r="L55" i="11" s="1"/>
  <c r="K54" i="11"/>
  <c r="L54" i="11" s="1"/>
  <c r="K53" i="11"/>
  <c r="L53" i="11" s="1"/>
  <c r="K52" i="11"/>
  <c r="L67" i="10"/>
  <c r="J67" i="10" s="1"/>
  <c r="F70" i="10"/>
  <c r="G70" i="10"/>
  <c r="B75" i="11" l="1"/>
  <c r="L52" i="11"/>
  <c r="L56" i="11" s="1"/>
  <c r="K56" i="11"/>
  <c r="J55" i="11"/>
  <c r="J54" i="11"/>
  <c r="B46" i="11"/>
  <c r="J53" i="11"/>
  <c r="J52" i="11"/>
  <c r="M56" i="11"/>
  <c r="N52" i="11"/>
  <c r="N56" i="11" s="1"/>
  <c r="K67" i="10"/>
  <c r="F65" i="4"/>
  <c r="J56" i="11" l="1"/>
  <c r="U54" i="11" l="1"/>
  <c r="V54" i="11" s="1"/>
  <c r="U52" i="11"/>
  <c r="V52" i="11" s="1"/>
  <c r="U53" i="11"/>
  <c r="V53" i="11" s="1"/>
  <c r="U55" i="11"/>
  <c r="V55" i="11" s="1"/>
  <c r="B22" i="4"/>
  <c r="R66" i="4"/>
  <c r="R68" i="4"/>
  <c r="R65" i="4"/>
  <c r="U65" i="4"/>
  <c r="U66" i="4"/>
  <c r="U67" i="4"/>
  <c r="O65" i="4"/>
  <c r="P65" i="4" s="1"/>
  <c r="L64" i="4"/>
  <c r="N69" i="4"/>
  <c r="N64" i="4"/>
  <c r="B89" i="4"/>
  <c r="B96" i="10"/>
  <c r="B104" i="10"/>
  <c r="D103" i="10"/>
  <c r="W71" i="10"/>
  <c r="U69" i="10"/>
  <c r="U67" i="10"/>
  <c r="S71" i="10"/>
  <c r="T70" i="10"/>
  <c r="T71" i="10" s="1"/>
  <c r="B81" i="10"/>
  <c r="C81" i="10" s="1"/>
  <c r="W54" i="11" l="1"/>
  <c r="U71" i="10"/>
  <c r="C18" i="4"/>
  <c r="D18" i="4"/>
  <c r="G32" i="4" s="1"/>
  <c r="F32" i="4"/>
  <c r="E18" i="4"/>
  <c r="W52" i="11"/>
  <c r="W53" i="11"/>
  <c r="W55" i="11"/>
  <c r="U56" i="11"/>
  <c r="V56" i="11"/>
  <c r="B79" i="11"/>
  <c r="D85" i="11" s="1"/>
  <c r="D21" i="4"/>
  <c r="E19" i="4"/>
  <c r="E20" i="4"/>
  <c r="D19" i="4"/>
  <c r="E21" i="4"/>
  <c r="D20" i="4"/>
  <c r="B95" i="10"/>
  <c r="Q69" i="10"/>
  <c r="V68" i="10"/>
  <c r="V69" i="10"/>
  <c r="M67" i="10"/>
  <c r="L68" i="10"/>
  <c r="L69" i="10"/>
  <c r="J69" i="10" s="1"/>
  <c r="K69" i="10" s="1"/>
  <c r="X70" i="10"/>
  <c r="Y70" i="10" s="1"/>
  <c r="P70" i="10"/>
  <c r="Q70" i="10" s="1"/>
  <c r="N70" i="10"/>
  <c r="H70" i="10"/>
  <c r="X69" i="10"/>
  <c r="Y69" i="10" s="1"/>
  <c r="R69" i="10"/>
  <c r="N69" i="10"/>
  <c r="O69" i="10" s="1"/>
  <c r="D69" i="10"/>
  <c r="X68" i="10"/>
  <c r="Y68" i="10" s="1"/>
  <c r="R68" i="10"/>
  <c r="P68" i="10"/>
  <c r="Q68" i="10" s="1"/>
  <c r="N68" i="10"/>
  <c r="O68" i="10" s="1"/>
  <c r="D68" i="10"/>
  <c r="X67" i="10"/>
  <c r="V67" i="10"/>
  <c r="R67" i="10"/>
  <c r="P67" i="10"/>
  <c r="Q67" i="10" s="1"/>
  <c r="N67" i="10"/>
  <c r="D67" i="10"/>
  <c r="H69" i="10" l="1"/>
  <c r="G69" i="10"/>
  <c r="F69" i="10"/>
  <c r="F67" i="10"/>
  <c r="G67" i="10"/>
  <c r="H67" i="10"/>
  <c r="F68" i="10"/>
  <c r="H68" i="10"/>
  <c r="G68" i="10"/>
  <c r="B18" i="4"/>
  <c r="W56" i="11"/>
  <c r="D86" i="11"/>
  <c r="E86" i="11" s="1"/>
  <c r="B80" i="11"/>
  <c r="D88" i="11" s="1"/>
  <c r="E88" i="11" s="1"/>
  <c r="O67" i="10"/>
  <c r="N71" i="10"/>
  <c r="B94" i="10"/>
  <c r="Y67" i="10"/>
  <c r="B97" i="10"/>
  <c r="X71" i="10"/>
  <c r="B93" i="10"/>
  <c r="D104" i="10" s="1"/>
  <c r="P71" i="10"/>
  <c r="Z70" i="10"/>
  <c r="AA70" i="10" s="1"/>
  <c r="M68" i="10"/>
  <c r="L71" i="10"/>
  <c r="V71" i="10"/>
  <c r="Q71" i="10"/>
  <c r="Y71" i="10"/>
  <c r="Z69" i="10"/>
  <c r="AA69" i="10" s="1"/>
  <c r="O70" i="10"/>
  <c r="Z67" i="10"/>
  <c r="AA67" i="10" s="1"/>
  <c r="J68" i="10"/>
  <c r="B92" i="10" s="1"/>
  <c r="M69" i="10"/>
  <c r="D71" i="10"/>
  <c r="E57" i="10" s="1"/>
  <c r="B71" i="11" l="1"/>
  <c r="C71" i="11" s="1"/>
  <c r="B70" i="11"/>
  <c r="C70" i="11" s="1"/>
  <c r="B69" i="11"/>
  <c r="C69" i="11" s="1"/>
  <c r="B68" i="11"/>
  <c r="C68" i="11" s="1"/>
  <c r="B67" i="11"/>
  <c r="C67" i="11" s="1"/>
  <c r="D90" i="11" s="1"/>
  <c r="D91" i="11" s="1"/>
  <c r="E91" i="11" s="1"/>
  <c r="O71" i="10"/>
  <c r="B85" i="10"/>
  <c r="C85" i="10" s="1"/>
  <c r="D110" i="10" s="1"/>
  <c r="D105" i="10"/>
  <c r="E105" i="10" s="1"/>
  <c r="B98" i="10"/>
  <c r="M71" i="10"/>
  <c r="J71" i="10"/>
  <c r="K68" i="10"/>
  <c r="K71" i="10" s="1"/>
  <c r="Z68" i="10"/>
  <c r="AA68" i="10" s="1"/>
  <c r="AA71" i="10" s="1"/>
  <c r="B88" i="10" l="1"/>
  <c r="C88" i="10" s="1"/>
  <c r="D113" i="10" s="1"/>
  <c r="B86" i="10"/>
  <c r="C86" i="10" s="1"/>
  <c r="D119" i="10"/>
  <c r="B87" i="10"/>
  <c r="C87" i="10" s="1"/>
  <c r="B84" i="10"/>
  <c r="C84" i="10" s="1"/>
  <c r="D118" i="10" s="1"/>
  <c r="Z71" i="10"/>
  <c r="F58" i="10"/>
  <c r="B22" i="10"/>
  <c r="D109" i="10" l="1"/>
  <c r="D115" i="10" s="1"/>
  <c r="D121" i="10"/>
  <c r="D111" i="10"/>
  <c r="D112" i="10"/>
  <c r="D120" i="10"/>
  <c r="E18" i="10"/>
  <c r="H34" i="10" s="1"/>
  <c r="D20" i="10"/>
  <c r="G36" i="10" s="1"/>
  <c r="E21" i="10"/>
  <c r="H37" i="10" s="1"/>
  <c r="C19" i="10"/>
  <c r="F35" i="10" s="1"/>
  <c r="E19" i="10"/>
  <c r="H35" i="10" s="1"/>
  <c r="C21" i="10"/>
  <c r="D18" i="10"/>
  <c r="G34" i="10" s="1"/>
  <c r="C20" i="10"/>
  <c r="F36" i="10" s="1"/>
  <c r="D21" i="10"/>
  <c r="G37" i="10" s="1"/>
  <c r="C18" i="10"/>
  <c r="F34" i="10" s="1"/>
  <c r="D19" i="10"/>
  <c r="E20" i="10"/>
  <c r="D114" i="10" l="1"/>
  <c r="D116" i="10" s="1"/>
  <c r="E116" i="10" s="1"/>
  <c r="D122" i="10"/>
  <c r="E122" i="10" s="1"/>
  <c r="E34" i="10"/>
  <c r="E59" i="10"/>
  <c r="E58" i="10"/>
  <c r="B21" i="10"/>
  <c r="F37" i="10"/>
  <c r="E37" i="10" s="1"/>
  <c r="G35" i="10"/>
  <c r="B19" i="10"/>
  <c r="D22" i="10"/>
  <c r="C22" i="10"/>
  <c r="B18" i="10"/>
  <c r="H36" i="10"/>
  <c r="B20" i="10"/>
  <c r="E22" i="10"/>
  <c r="E35" i="10" l="1"/>
  <c r="G38" i="10"/>
  <c r="E36" i="10"/>
  <c r="H38" i="10"/>
  <c r="F38" i="10"/>
  <c r="E38" i="10" l="1"/>
  <c r="B46" i="10" s="1"/>
  <c r="B51" i="10" s="1"/>
  <c r="D46" i="10" l="1"/>
  <c r="C46" i="10"/>
  <c r="E51" i="10"/>
  <c r="F51" i="10" s="1"/>
  <c r="D50" i="10"/>
  <c r="D49" i="10"/>
  <c r="D48" i="10"/>
  <c r="D47" i="10"/>
  <c r="C50" i="10"/>
  <c r="C49" i="10"/>
  <c r="C48" i="10"/>
  <c r="C47" i="10"/>
  <c r="F48" i="10" l="1"/>
  <c r="E49" i="10"/>
  <c r="F50" i="10"/>
  <c r="E47" i="10"/>
  <c r="F49" i="10"/>
  <c r="E50" i="10"/>
  <c r="F47" i="10"/>
  <c r="E48" i="10"/>
  <c r="E46" i="10"/>
  <c r="F46" i="10" s="1"/>
  <c r="E65" i="4" l="1"/>
  <c r="F68" i="4"/>
  <c r="E68" i="4" s="1"/>
  <c r="F67" i="4"/>
  <c r="E67" i="4" s="1"/>
  <c r="F66" i="4"/>
  <c r="E66" i="4" s="1"/>
  <c r="I67" i="4" l="1"/>
  <c r="H67" i="4"/>
  <c r="G67" i="4"/>
  <c r="H65" i="4"/>
  <c r="G65" i="4"/>
  <c r="I65" i="4"/>
  <c r="G66" i="4"/>
  <c r="H66" i="4"/>
  <c r="I66" i="4"/>
  <c r="G68" i="4"/>
  <c r="I68" i="4"/>
  <c r="H68" i="4"/>
  <c r="T68" i="4" l="1"/>
  <c r="S66" i="4"/>
  <c r="O66" i="4"/>
  <c r="O68" i="4"/>
  <c r="P68" i="4" s="1"/>
  <c r="Q67" i="4"/>
  <c r="B80" i="4" s="1"/>
  <c r="D97" i="4" l="1"/>
  <c r="D104" i="4"/>
  <c r="P66" i="4"/>
  <c r="T69" i="4"/>
  <c r="U68" i="4"/>
  <c r="Q69" i="4"/>
  <c r="R67" i="4"/>
  <c r="R69" i="4" s="1"/>
  <c r="G35" i="4"/>
  <c r="C21" i="4"/>
  <c r="F35" i="4" s="1"/>
  <c r="G33" i="4"/>
  <c r="H33" i="4"/>
  <c r="H35" i="4"/>
  <c r="C19" i="4"/>
  <c r="C20" i="4"/>
  <c r="F34" i="4" s="1"/>
  <c r="G34" i="4"/>
  <c r="H32" i="4"/>
  <c r="E32" i="4" s="1"/>
  <c r="H34" i="4"/>
  <c r="U69" i="4" l="1"/>
  <c r="B82" i="4"/>
  <c r="D95" i="4" s="1"/>
  <c r="E34" i="4"/>
  <c r="H36" i="4"/>
  <c r="G36" i="4"/>
  <c r="B19" i="4"/>
  <c r="F33" i="4"/>
  <c r="E33" i="4" s="1"/>
  <c r="E35" i="4"/>
  <c r="E22" i="4"/>
  <c r="D22" i="4"/>
  <c r="B20" i="4"/>
  <c r="B21" i="4"/>
  <c r="C22" i="4"/>
  <c r="S68" i="4"/>
  <c r="S67" i="4"/>
  <c r="O67" i="4"/>
  <c r="M65" i="4" l="1"/>
  <c r="N65" i="4" s="1"/>
  <c r="P67" i="4"/>
  <c r="P69" i="4" s="1"/>
  <c r="B81" i="4"/>
  <c r="M67" i="4"/>
  <c r="N67" i="4" s="1"/>
  <c r="M68" i="4"/>
  <c r="N68" i="4" s="1"/>
  <c r="M66" i="4"/>
  <c r="N66" i="4" s="1"/>
  <c r="F36" i="4"/>
  <c r="K65" i="4" s="1"/>
  <c r="S69" i="4"/>
  <c r="O69" i="4"/>
  <c r="L65" i="4" l="1"/>
  <c r="D98" i="4"/>
  <c r="D105" i="4"/>
  <c r="E36" i="4"/>
  <c r="J65" i="4" s="1"/>
  <c r="K67" i="4"/>
  <c r="L67" i="4" s="1"/>
  <c r="K68" i="4"/>
  <c r="L68" i="4" s="1"/>
  <c r="K66" i="4"/>
  <c r="L66" i="4" s="1"/>
  <c r="B79" i="4" l="1"/>
  <c r="D103" i="4" s="1"/>
  <c r="J67" i="4"/>
  <c r="K69" i="4"/>
  <c r="L69" i="4"/>
  <c r="J68" i="4"/>
  <c r="B42" i="4"/>
  <c r="B46" i="4" s="1"/>
  <c r="C42" i="4" s="1"/>
  <c r="J66" i="4"/>
  <c r="D94" i="4" l="1"/>
  <c r="D42" i="4"/>
  <c r="E42" i="4" s="1"/>
  <c r="D43" i="4"/>
  <c r="E46" i="4"/>
  <c r="D45" i="4"/>
  <c r="C45" i="4"/>
  <c r="C43" i="4"/>
  <c r="C44" i="4"/>
  <c r="D44" i="4"/>
  <c r="J69" i="4"/>
  <c r="D100" i="4" l="1"/>
  <c r="E43" i="4"/>
  <c r="E45" i="4"/>
  <c r="V67" i="4"/>
  <c r="E44" i="4"/>
  <c r="V68" i="4"/>
  <c r="V65" i="4"/>
  <c r="W65" i="4" s="1"/>
  <c r="V66" i="4"/>
  <c r="X66" i="4" l="1"/>
  <c r="W66" i="4"/>
  <c r="X68" i="4"/>
  <c r="W68" i="4"/>
  <c r="X67" i="4"/>
  <c r="W67" i="4"/>
  <c r="X65" i="4"/>
  <c r="V69" i="4"/>
  <c r="W69" i="4" s="1"/>
  <c r="B83" i="4" l="1"/>
  <c r="X69" i="4"/>
  <c r="D96" i="4" l="1"/>
  <c r="D99" i="4" s="1"/>
  <c r="B84" i="4"/>
  <c r="D90" i="4"/>
  <c r="E90" i="4" s="1"/>
  <c r="D106" i="4" l="1"/>
  <c r="E106" i="4" s="1"/>
  <c r="D101" i="4" l="1"/>
  <c r="E101" i="4" s="1"/>
</calcChain>
</file>

<file path=xl/comments1.xml><?xml version="1.0" encoding="utf-8"?>
<comments xmlns="http://schemas.openxmlformats.org/spreadsheetml/2006/main">
  <authors>
    <author>Joseph Ward</author>
  </authors>
  <commentList>
    <comment ref="B16" authorId="0">
      <text>
        <r>
          <rPr>
            <sz val="8"/>
            <color indexed="81"/>
            <rFont val="Tahoma"/>
            <family val="2"/>
          </rPr>
          <t xml:space="preserve">Amend this cell to establish the impacts of using different levels of affordable housing.
</t>
        </r>
      </text>
    </comment>
    <comment ref="A87" authorId="0">
      <text>
        <r>
          <rPr>
            <sz val="8"/>
            <color indexed="81"/>
            <rFont val="Tahoma"/>
            <charset val="1"/>
          </rPr>
          <t xml:space="preserve">Residual S106 Assumptions may be amended following agreement with Developer
</t>
        </r>
      </text>
    </comment>
  </commentList>
</comments>
</file>

<file path=xl/comments2.xml><?xml version="1.0" encoding="utf-8"?>
<comments xmlns="http://schemas.openxmlformats.org/spreadsheetml/2006/main">
  <authors>
    <author>Joseph Ward</author>
  </authors>
  <commentList>
    <comment ref="B16" authorId="0">
      <text>
        <r>
          <rPr>
            <b/>
            <sz val="8"/>
            <color indexed="81"/>
            <rFont val="Tahoma"/>
            <charset val="1"/>
          </rPr>
          <t>Joseph Ward:</t>
        </r>
        <r>
          <rPr>
            <sz val="8"/>
            <color indexed="81"/>
            <rFont val="Tahoma"/>
            <charset val="1"/>
          </rPr>
          <t xml:space="preserve">
Amend this cell to establish the impacts of using different levels of affordable housing.</t>
        </r>
      </text>
    </comment>
    <comment ref="E45" authorId="0">
      <text>
        <r>
          <rPr>
            <sz val="8"/>
            <color indexed="81"/>
            <rFont val="Tahoma"/>
            <family val="2"/>
          </rPr>
          <t xml:space="preserve">This additional area is to make the gap between the NIA and the GEA 30%
</t>
        </r>
      </text>
    </comment>
  </commentList>
</comments>
</file>

<file path=xl/comments3.xml><?xml version="1.0" encoding="utf-8"?>
<comments xmlns="http://schemas.openxmlformats.org/spreadsheetml/2006/main">
  <authors>
    <author>Joseph Ward</author>
  </authors>
  <commentList>
    <comment ref="B16" authorId="0">
      <text>
        <r>
          <rPr>
            <b/>
            <sz val="8"/>
            <color indexed="81"/>
            <rFont val="Tahoma"/>
            <charset val="1"/>
          </rPr>
          <t>Joseph Ward:</t>
        </r>
        <r>
          <rPr>
            <sz val="8"/>
            <color indexed="81"/>
            <rFont val="Tahoma"/>
            <charset val="1"/>
          </rPr>
          <t xml:space="preserve">
Amend this cell to establish the impacts of using different levels of affordable housing.</t>
        </r>
      </text>
    </comment>
  </commentList>
</comments>
</file>

<file path=xl/sharedStrings.xml><?xml version="1.0" encoding="utf-8"?>
<sst xmlns="http://schemas.openxmlformats.org/spreadsheetml/2006/main" count="469" uniqueCount="177">
  <si>
    <t>Type</t>
  </si>
  <si>
    <t>Number of Units</t>
  </si>
  <si>
    <t xml:space="preserve">1 bed </t>
  </si>
  <si>
    <t>2 bed</t>
  </si>
  <si>
    <t>3 bed</t>
  </si>
  <si>
    <t>4 bed</t>
  </si>
  <si>
    <t>Total</t>
  </si>
  <si>
    <t>Market</t>
  </si>
  <si>
    <t>Intermediate</t>
  </si>
  <si>
    <t>Affordable</t>
  </si>
  <si>
    <t>PHASING</t>
  </si>
  <si>
    <t>Masterplan</t>
  </si>
  <si>
    <t>1 bed</t>
  </si>
  <si>
    <t>Assuming 35% Affordable Housing</t>
  </si>
  <si>
    <t>Unit</t>
  </si>
  <si>
    <t>GIA (sq. m)</t>
  </si>
  <si>
    <t>Residential</t>
  </si>
  <si>
    <t>Retail</t>
  </si>
  <si>
    <t>Basement</t>
  </si>
  <si>
    <t>Office</t>
  </si>
  <si>
    <t>Use</t>
  </si>
  <si>
    <t>Area</t>
  </si>
  <si>
    <t>Other</t>
  </si>
  <si>
    <t>Unit Sizes</t>
  </si>
  <si>
    <t>Gross to Net Ratio</t>
  </si>
  <si>
    <t>UNIT MIX</t>
  </si>
  <si>
    <t>Unit Type</t>
  </si>
  <si>
    <t>NUMBER OF UNITS</t>
  </si>
  <si>
    <t>as per pre-application discussions</t>
  </si>
  <si>
    <t>as per BGY rep at RDCS stage</t>
  </si>
  <si>
    <t>Building</t>
  </si>
  <si>
    <t>Start</t>
  </si>
  <si>
    <t>End</t>
  </si>
  <si>
    <t>Duration</t>
  </si>
  <si>
    <t>Pre-construction</t>
  </si>
  <si>
    <t>21 months</t>
  </si>
  <si>
    <t>Phase 1: Plots C &amp; H</t>
  </si>
  <si>
    <t>42 months</t>
  </si>
  <si>
    <t>Phase 2: Plots F, G, K &amp; L</t>
  </si>
  <si>
    <t>64 months</t>
  </si>
  <si>
    <t>Phase 3: Plots A &amp; B</t>
  </si>
  <si>
    <t>37 months</t>
  </si>
  <si>
    <t>Phase 4: Plots D, E, I &amp; J</t>
  </si>
  <si>
    <t>41 months</t>
  </si>
  <si>
    <t>N/A</t>
  </si>
  <si>
    <t>Notes</t>
  </si>
  <si>
    <t>D1/D2</t>
  </si>
  <si>
    <t>Car Parking</t>
  </si>
  <si>
    <t>Business</t>
  </si>
  <si>
    <t>Non-residential institutions</t>
  </si>
  <si>
    <t>Max. Car Parking</t>
  </si>
  <si>
    <t>Policy DM3</t>
  </si>
  <si>
    <t>Affordable Housing</t>
  </si>
  <si>
    <t xml:space="preserve">• Residential space contains 8979 ancillary/amenity space.
• Other uses = Service corridors/ loading bays and plant space.
*Basement accommodation of 9,339 has been distributed across the four phases in a manner proportional to the delivery of overall floorspace expected in these phases.
</t>
  </si>
  <si>
    <t>as per indicative scheme proposed in application</t>
  </si>
  <si>
    <t>Residual S106</t>
  </si>
  <si>
    <t>PROPOSED SCHEME FLOORSPACE (GIA)</t>
  </si>
  <si>
    <t>Hotel</t>
  </si>
  <si>
    <t>Lobbies/Ancillary</t>
  </si>
  <si>
    <t>Community</t>
  </si>
  <si>
    <t>Residential Units</t>
  </si>
  <si>
    <t>Residential Floorspace</t>
  </si>
  <si>
    <t>Source</t>
  </si>
  <si>
    <t>Phase 1: A1 - A3, E1 - E2, D1 - D2, B3, F2, G2 - G4, H1, H4</t>
  </si>
  <si>
    <t>Phase 4: B1, C1</t>
  </si>
  <si>
    <t>Phase 3: F1, F3 - F4, G6 - G8, H2 - H3, J1 - J5, M1</t>
  </si>
  <si>
    <t>Phase 2: C2, D3 - D4, E3 - E4, G1, G5, G10, L1</t>
  </si>
  <si>
    <t>Total Size</t>
  </si>
  <si>
    <t>% total</t>
  </si>
  <si>
    <t>Area (sq. m)</t>
  </si>
  <si>
    <t>1. 35% Affordable Housing</t>
  </si>
  <si>
    <t>86 months</t>
  </si>
  <si>
    <t>59 months</t>
  </si>
  <si>
    <t>67 months</t>
  </si>
  <si>
    <t>Industrial</t>
  </si>
  <si>
    <t>As per Policy DM3 of the Council's MDD: -</t>
  </si>
  <si>
    <t xml:space="preserve"> GLA Housing Design Guidance</t>
  </si>
  <si>
    <t>The phasing has been derived from the current planning application.</t>
  </si>
  <si>
    <t>Basement and 'Other' accommodation has been proportionally apportioned between each of the uses according to the floor area the particular use is to provide.</t>
  </si>
  <si>
    <t>Adjusted to reflect 70% Gross to Net</t>
  </si>
  <si>
    <t>Phase 1</t>
  </si>
  <si>
    <t>Phase 2</t>
  </si>
  <si>
    <t>Phase 3</t>
  </si>
  <si>
    <t>Phase 4</t>
  </si>
  <si>
    <t>Floor Areas (GEA)- Commercial</t>
  </si>
  <si>
    <t>Total Floor Area (GEA) inc Residential, not including basement (see below)</t>
  </si>
  <si>
    <t>CIL</t>
  </si>
  <si>
    <t>Total (GIA)</t>
  </si>
  <si>
    <t>Discount</t>
  </si>
  <si>
    <t>P1</t>
  </si>
  <si>
    <t>P2</t>
  </si>
  <si>
    <t>P3</t>
  </si>
  <si>
    <t>Floorspace (GIA)</t>
  </si>
  <si>
    <t xml:space="preserve">*Basement accommodation of 120525 has been equally distributed across the four phases.
</t>
  </si>
  <si>
    <t>Car parking split proportionatly between phases with residential units</t>
  </si>
  <si>
    <t>Phase</t>
  </si>
  <si>
    <t>proportion of resi in phase</t>
  </si>
  <si>
    <t>No.  spaces</t>
  </si>
  <si>
    <t>Pvt (Sq m)</t>
  </si>
  <si>
    <t>Pvt (sq ft)</t>
  </si>
  <si>
    <t>Aff (sq m)</t>
  </si>
  <si>
    <t>Aff (sq ft)</t>
  </si>
  <si>
    <t>Retail (sq m)</t>
  </si>
  <si>
    <t>Retail (sq ft)</t>
  </si>
  <si>
    <t>Office (sq m)</t>
  </si>
  <si>
    <t>Office (sq ft)</t>
  </si>
  <si>
    <t>Community (sq m)</t>
  </si>
  <si>
    <t>Community (sq ft)</t>
  </si>
  <si>
    <t>Basement* (sq m)</t>
  </si>
  <si>
    <t>Basement* (sq ft)</t>
  </si>
  <si>
    <t>Total (sq m)</t>
  </si>
  <si>
    <t>Total (sq ft)</t>
  </si>
  <si>
    <t>per unit</t>
  </si>
  <si>
    <t>per sq ft</t>
  </si>
  <si>
    <t>Total residual S106</t>
  </si>
  <si>
    <t>per sq m (GIA)</t>
  </si>
  <si>
    <t>Less discount for top up due to mixed use i.e. resi mayoral CIL</t>
  </si>
  <si>
    <t>Payable Mayoral CIL and Crossrail Top up</t>
  </si>
  <si>
    <t>S.106 Assumptions (residential)</t>
  </si>
  <si>
    <t>Mayoral CIL (residential)</t>
  </si>
  <si>
    <t>Mayoral CIL &amp; Crossrail S106 (office)</t>
  </si>
  <si>
    <t>Mayoral CIL &amp; Crossrail S106 (retail)</t>
  </si>
  <si>
    <t>Gross Mayoral CIL and Crossrail Top up</t>
  </si>
  <si>
    <t>LBTH CIL (Resi)</t>
  </si>
  <si>
    <t>LBTH CIL (Office)</t>
  </si>
  <si>
    <t>LBTH CIL (Retail)</t>
  </si>
  <si>
    <t>LBTH CIL Total</t>
  </si>
  <si>
    <t>residential</t>
  </si>
  <si>
    <t>commercial</t>
  </si>
  <si>
    <t>Existing Floorspace (sq m)</t>
  </si>
  <si>
    <t>Apportionment between uses</t>
  </si>
  <si>
    <t>Mayoral CIL &amp; Crossrail S106 (hotel)</t>
  </si>
  <si>
    <t>Hotel (sq m)</t>
  </si>
  <si>
    <t>Hotel (Sq ft)</t>
  </si>
  <si>
    <t>LBTH CIL (Hotel)</t>
  </si>
  <si>
    <t>office</t>
  </si>
  <si>
    <t>hotel</t>
  </si>
  <si>
    <t>retail</t>
  </si>
  <si>
    <t>basement</t>
  </si>
  <si>
    <t>Pvt Residential</t>
  </si>
  <si>
    <t>Basements</t>
  </si>
  <si>
    <t>school (sq m)</t>
  </si>
  <si>
    <t>S.106 Assumptions (commercial &amp; basements)</t>
  </si>
  <si>
    <t>Community (excluding school)</t>
  </si>
  <si>
    <t>Split equally between phases</t>
  </si>
  <si>
    <t>Proposed floorspace (sq m)</t>
  </si>
  <si>
    <t>Pvt resi (sq m)</t>
  </si>
  <si>
    <t>Pvt resi (sq ft)</t>
  </si>
  <si>
    <t>Aff resi (sq m)</t>
  </si>
  <si>
    <t>Aff resi (sq ft)</t>
  </si>
  <si>
    <t>D1/D2 (sq m)</t>
  </si>
  <si>
    <t>D1/D2 (sq ft)</t>
  </si>
  <si>
    <t>Idea store in 2nd phase</t>
  </si>
  <si>
    <t>split between 4 phases</t>
  </si>
  <si>
    <t>S.106 Assumptions (commercial &amp; D1/D2)</t>
  </si>
  <si>
    <t>S106 &amp; CIL</t>
  </si>
  <si>
    <t xml:space="preserve">Mayoral CIL </t>
  </si>
  <si>
    <t>1. The residential floor area has been derived using the number of units in the current planning application and the floor areas stated in the GLA Housing Design Guidance. 
2. The commercial/community floorspace areas have been derived from the current planning application.</t>
  </si>
  <si>
    <t>Taken from the Mayoral CIL forms that constitute part of the planning application.</t>
  </si>
  <si>
    <t>Residual S106 Assumptions may change folowing agreement with the developers.</t>
  </si>
  <si>
    <t>UNITS</t>
  </si>
  <si>
    <t>1. The residential floor area has been derived using the floor areas stated in the GLA Housing Design Guidance. 
2. The commercial/community floorspace areas have been derived from the current planning application.
3. 'Other' space proportionally apportioned between uses.</t>
  </si>
  <si>
    <t>All Uses</t>
  </si>
  <si>
    <t>BISHOPSGATE GOODS YARD - FLOOR AREA, PHASING, CIL AND S106: ASSUMPTIONS/VARIABLES</t>
  </si>
  <si>
    <t>S106 CIL &amp; CROSSRAIL S106</t>
  </si>
  <si>
    <t>None</t>
  </si>
  <si>
    <t>WOOD WHARF - FLOOR AREA, PHASING, CIL AND S106: ASSUMPTIONS/VARIABLES</t>
  </si>
  <si>
    <t>Note: The floorspace of the proposed development has not been amended to reflect the delivery of different sized units. Making such an assumption would lead to wider inconsistencies.</t>
  </si>
  <si>
    <t>Phasing</t>
  </si>
  <si>
    <t>Floor Area</t>
  </si>
  <si>
    <t>As per Environmental Impact Assessment Scoping</t>
  </si>
  <si>
    <t>Taken from Rating List</t>
  </si>
  <si>
    <t>Estimated</t>
  </si>
  <si>
    <t>1. The residential floor area has been derived using the number of units in the publicly available EIA Scoping and the floor areas stated in the GLA Housing Design Guidance. 
2. The commercial/community floorspace areas has been estimated.</t>
  </si>
  <si>
    <t xml:space="preserve">* No scheme specific information was available at the time of this appraisal. As such, the basement floorspace assumed is equivalent to the % of the total floorspace the basement for the Bishopsgate Goods Yard pre-application constituted.
</t>
  </si>
  <si>
    <t>Note: Cell B16 can be amended to calculate floor areas for the provision of different levels of affordable housing</t>
  </si>
  <si>
    <t>WESTFERRY PRINTWORKS - FLOOR AREA, PHASING, CIL AND S106: ASSUMPTIONS/VARIABLES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</si>
</sst>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44" formatCode="_-&quot;£&quot;* #,##0.00_-;\-&quot;£&quot;* #,##0.00_-;_-&quot;£&quot;* &quot;-&quot;??_-;_-@_-"/>
    <numFmt numFmtId="43" formatCode="_-* #,##0.00_-;\-* #,##0.00_-;_-* &quot;-&quot;??_-;_-@_-"/>
    <numFmt numFmtId="164" formatCode="_-&quot;£&quot;* #,##0_-;\-&quot;£&quot;* #,##0_-;_-&quot;£&quot;* &quot;-&quot;??_-;_-@_-"/>
    <numFmt numFmtId="165" formatCode="_-* #,##0_-;\-* #,##0_-;_-* &quot;-&quot;??_-;_-@_-"/>
  </numFmts>
  <fonts count="15"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u/>
      <sz val="11"/>
      <color theme="1"/>
      <name val="Calibri"/>
      <family val="2"/>
      <scheme val="minor"/>
    </font>
    <font>
      <sz val="11"/>
      <color theme="1"/>
      <name val="Calibri"/>
      <family val="2"/>
      <scheme val="minor"/>
    </font>
    <font>
      <sz val="8"/>
      <color indexed="81"/>
      <name val="Tahoma"/>
      <family val="2"/>
    </font>
    <font>
      <sz val="11"/>
      <color theme="0"/>
      <name val="Calibri"/>
      <family val="2"/>
      <scheme val="minor"/>
    </font>
    <font>
      <b/>
      <sz val="11"/>
      <color rgb="FFFF0000"/>
      <name val="Calibri"/>
      <family val="2"/>
      <scheme val="minor"/>
    </font>
    <font>
      <sz val="11"/>
      <name val="Calibri"/>
      <family val="2"/>
      <scheme val="minor"/>
    </font>
    <font>
      <b/>
      <i/>
      <sz val="11"/>
      <name val="Calibri"/>
      <family val="2"/>
      <scheme val="minor"/>
    </font>
    <font>
      <b/>
      <i/>
      <sz val="11"/>
      <color theme="1"/>
      <name val="Calibri"/>
      <family val="2"/>
      <scheme val="minor"/>
    </font>
    <font>
      <sz val="8"/>
      <color indexed="81"/>
      <name val="Tahoma"/>
      <charset val="1"/>
    </font>
    <font>
      <b/>
      <u/>
      <sz val="11"/>
      <name val="Calibri"/>
      <family val="2"/>
      <scheme val="minor"/>
    </font>
    <font>
      <b/>
      <sz val="8"/>
      <color indexed="81"/>
      <name val="Tahoma"/>
      <charset val="1"/>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indexed="41"/>
        <bgColor indexed="64"/>
      </patternFill>
    </fill>
    <fill>
      <patternFill patternType="solid">
        <fgColor theme="0"/>
        <bgColor indexed="64"/>
      </patternFill>
    </fill>
    <fill>
      <patternFill patternType="solid">
        <fgColor theme="2"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cellStyleXfs>
  <cellXfs count="245">
    <xf numFmtId="0" fontId="0" fillId="0" borderId="0" xfId="0"/>
    <xf numFmtId="0" fontId="1" fillId="0" borderId="0" xfId="0" applyFont="1"/>
    <xf numFmtId="0" fontId="0" fillId="0" borderId="1" xfId="0" applyBorder="1"/>
    <xf numFmtId="9" fontId="3" fillId="0" borderId="0" xfId="0" applyNumberFormat="1" applyFont="1" applyBorder="1" applyAlignment="1">
      <alignment horizontal="right" vertical="center" wrapText="1"/>
    </xf>
    <xf numFmtId="0" fontId="0" fillId="0" borderId="2" xfId="0" applyBorder="1"/>
    <xf numFmtId="0" fontId="2" fillId="0" borderId="1" xfId="0" applyFont="1" applyFill="1" applyBorder="1" applyAlignment="1">
      <alignment vertical="center"/>
    </xf>
    <xf numFmtId="9" fontId="3" fillId="0" borderId="1" xfId="0" applyNumberFormat="1" applyFont="1" applyBorder="1" applyAlignment="1">
      <alignment horizontal="right" vertical="center" wrapText="1"/>
    </xf>
    <xf numFmtId="9" fontId="3" fillId="0" borderId="7" xfId="0" applyNumberFormat="1" applyFont="1" applyBorder="1" applyAlignment="1">
      <alignment horizontal="right" vertical="center" wrapText="1"/>
    </xf>
    <xf numFmtId="9" fontId="3" fillId="0" borderId="10" xfId="0" applyNumberFormat="1" applyFont="1" applyBorder="1" applyAlignment="1">
      <alignment horizontal="right" vertical="center" wrapText="1"/>
    </xf>
    <xf numFmtId="0" fontId="4" fillId="0" borderId="0" xfId="0" applyFont="1"/>
    <xf numFmtId="1" fontId="0" fillId="0" borderId="0" xfId="0" applyNumberFormat="1" applyBorder="1"/>
    <xf numFmtId="0" fontId="1" fillId="0" borderId="1" xfId="0" applyFont="1" applyBorder="1" applyAlignment="1">
      <alignment horizontal="justify" vertical="center" wrapText="1"/>
    </xf>
    <xf numFmtId="0" fontId="0" fillId="0" borderId="1" xfId="0" applyBorder="1" applyAlignment="1">
      <alignment horizontal="justify" vertical="center" wrapText="1"/>
    </xf>
    <xf numFmtId="0" fontId="0" fillId="0" borderId="0" xfId="0" applyBorder="1"/>
    <xf numFmtId="0" fontId="1" fillId="0" borderId="1" xfId="0" applyFont="1" applyBorder="1"/>
    <xf numFmtId="0" fontId="1" fillId="0" borderId="0" xfId="0" applyFont="1" applyFill="1" applyBorder="1"/>
    <xf numFmtId="0" fontId="2" fillId="0" borderId="1" xfId="0" applyFont="1" applyBorder="1" applyAlignment="1">
      <alignment vertical="center" wrapText="1"/>
    </xf>
    <xf numFmtId="0" fontId="3" fillId="0" borderId="1" xfId="0" applyFont="1" applyBorder="1" applyAlignment="1">
      <alignment vertical="center" wrapText="1"/>
    </xf>
    <xf numFmtId="9" fontId="0" fillId="0" borderId="1" xfId="0" applyNumberFormat="1" applyBorder="1"/>
    <xf numFmtId="0" fontId="3" fillId="0" borderId="1" xfId="0" applyFont="1" applyFill="1" applyBorder="1" applyAlignment="1">
      <alignment vertical="center" wrapText="1"/>
    </xf>
    <xf numFmtId="0" fontId="3" fillId="0" borderId="0" xfId="0" applyFont="1" applyBorder="1" applyAlignment="1">
      <alignment vertical="center" wrapText="1"/>
    </xf>
    <xf numFmtId="0" fontId="2" fillId="0" borderId="1" xfId="0" applyFont="1" applyFill="1" applyBorder="1" applyAlignment="1">
      <alignment horizontal="left" vertical="center" wrapText="1"/>
    </xf>
    <xf numFmtId="3" fontId="0" fillId="0" borderId="1" xfId="0" applyNumberFormat="1" applyBorder="1"/>
    <xf numFmtId="0" fontId="1" fillId="0" borderId="1" xfId="0" applyFont="1" applyBorder="1" applyAlignment="1">
      <alignment wrapText="1"/>
    </xf>
    <xf numFmtId="17" fontId="0" fillId="0" borderId="1" xfId="0" applyNumberFormat="1" applyBorder="1"/>
    <xf numFmtId="0" fontId="0" fillId="0" borderId="1" xfId="0" applyBorder="1" applyAlignment="1">
      <alignment horizontal="right"/>
    </xf>
    <xf numFmtId="0" fontId="1" fillId="0" borderId="13" xfId="0" applyFont="1" applyBorder="1"/>
    <xf numFmtId="0" fontId="2" fillId="0" borderId="0" xfId="0" applyFont="1" applyFill="1" applyBorder="1" applyAlignment="1">
      <alignment horizontal="left" vertical="center" wrapText="1"/>
    </xf>
    <xf numFmtId="9" fontId="0" fillId="0" borderId="0" xfId="0" applyNumberFormat="1" applyBorder="1"/>
    <xf numFmtId="0" fontId="3" fillId="0" borderId="1" xfId="0" applyFont="1" applyFill="1" applyBorder="1" applyAlignment="1">
      <alignment horizontal="left" vertical="center" wrapText="1"/>
    </xf>
    <xf numFmtId="0" fontId="1" fillId="0" borderId="0" xfId="0" applyFont="1" applyBorder="1" applyAlignment="1">
      <alignment horizontal="center"/>
    </xf>
    <xf numFmtId="0" fontId="1" fillId="0" borderId="1" xfId="0" applyFont="1" applyBorder="1" applyAlignment="1">
      <alignment vertical="top"/>
    </xf>
    <xf numFmtId="0" fontId="0" fillId="0" borderId="0" xfId="0" applyFill="1" applyBorder="1"/>
    <xf numFmtId="0" fontId="1" fillId="0" borderId="0" xfId="0" applyFont="1" applyBorder="1" applyAlignment="1">
      <alignment vertical="top"/>
    </xf>
    <xf numFmtId="0" fontId="0" fillId="0" borderId="0" xfId="0" applyBorder="1" applyAlignment="1">
      <alignment horizontal="left" vertical="top" wrapText="1"/>
    </xf>
    <xf numFmtId="0" fontId="0" fillId="0" borderId="0" xfId="0" applyBorder="1" applyAlignment="1">
      <alignment horizontal="left" vertical="top"/>
    </xf>
    <xf numFmtId="0" fontId="0" fillId="0" borderId="14" xfId="0" applyBorder="1"/>
    <xf numFmtId="0" fontId="2" fillId="0" borderId="0" xfId="0" applyFont="1" applyFill="1" applyBorder="1" applyAlignment="1">
      <alignment vertical="center"/>
    </xf>
    <xf numFmtId="0" fontId="1" fillId="0" borderId="0" xfId="0" applyFont="1" applyFill="1"/>
    <xf numFmtId="0" fontId="0" fillId="0" borderId="0" xfId="0" applyFill="1"/>
    <xf numFmtId="0" fontId="0" fillId="0" borderId="1" xfId="0" applyFill="1" applyBorder="1"/>
    <xf numFmtId="0" fontId="1" fillId="0" borderId="1" xfId="0" applyFont="1" applyFill="1" applyBorder="1"/>
    <xf numFmtId="0" fontId="1" fillId="0" borderId="1" xfId="0" applyFont="1" applyFill="1" applyBorder="1" applyAlignment="1">
      <alignment wrapText="1"/>
    </xf>
    <xf numFmtId="2" fontId="0" fillId="0" borderId="1" xfId="0" applyNumberFormat="1" applyFill="1" applyBorder="1"/>
    <xf numFmtId="44" fontId="0" fillId="0" borderId="1" xfId="0" applyNumberFormat="1" applyBorder="1"/>
    <xf numFmtId="0" fontId="1" fillId="0" borderId="0" xfId="0" applyFont="1" applyBorder="1"/>
    <xf numFmtId="0" fontId="3" fillId="0" borderId="0" xfId="0" applyFont="1" applyFill="1" applyBorder="1" applyAlignment="1">
      <alignment horizontal="right" vertical="center"/>
    </xf>
    <xf numFmtId="9" fontId="0" fillId="0" borderId="0" xfId="0" applyNumberFormat="1" applyFill="1" applyBorder="1"/>
    <xf numFmtId="2" fontId="3" fillId="0" borderId="1" xfId="0" applyNumberFormat="1" applyFont="1" applyFill="1" applyBorder="1" applyAlignment="1">
      <alignment horizontal="right" vertical="center"/>
    </xf>
    <xf numFmtId="2" fontId="0" fillId="0" borderId="0" xfId="0" applyNumberFormat="1" applyFill="1" applyBorder="1"/>
    <xf numFmtId="0" fontId="2" fillId="0" borderId="15" xfId="0" applyFont="1" applyFill="1" applyBorder="1" applyAlignment="1">
      <alignment horizontal="left" vertical="center" wrapText="1"/>
    </xf>
    <xf numFmtId="0" fontId="0" fillId="0" borderId="1" xfId="0" applyFill="1" applyBorder="1" applyAlignment="1">
      <alignment wrapText="1"/>
    </xf>
    <xf numFmtId="0" fontId="0" fillId="0" borderId="0" xfId="0" applyFill="1" applyBorder="1" applyAlignment="1">
      <alignment horizontal="left" wrapText="1"/>
    </xf>
    <xf numFmtId="0" fontId="0" fillId="0" borderId="0" xfId="0" applyFill="1" applyBorder="1" applyAlignment="1">
      <alignment horizontal="left"/>
    </xf>
    <xf numFmtId="9" fontId="0" fillId="0" borderId="1" xfId="0" applyNumberFormat="1" applyFill="1" applyBorder="1"/>
    <xf numFmtId="9" fontId="0" fillId="0" borderId="15" xfId="0" applyNumberFormat="1" applyBorder="1"/>
    <xf numFmtId="2" fontId="3" fillId="0" borderId="0" xfId="0" applyNumberFormat="1" applyFont="1" applyFill="1" applyBorder="1" applyAlignment="1">
      <alignment horizontal="right" vertical="center"/>
    </xf>
    <xf numFmtId="0" fontId="1" fillId="0" borderId="1" xfId="0" applyFont="1" applyBorder="1" applyAlignment="1">
      <alignment horizontal="center"/>
    </xf>
    <xf numFmtId="0" fontId="1" fillId="0" borderId="1" xfId="0" applyFont="1" applyBorder="1" applyAlignment="1">
      <alignment horizontal="left"/>
    </xf>
    <xf numFmtId="0" fontId="1" fillId="0" borderId="13" xfId="0" applyFont="1" applyFill="1" applyBorder="1"/>
    <xf numFmtId="0" fontId="1" fillId="0" borderId="13" xfId="0" applyFont="1" applyFill="1" applyBorder="1" applyAlignment="1">
      <alignment wrapText="1"/>
    </xf>
    <xf numFmtId="0" fontId="0" fillId="0" borderId="0" xfId="0" applyFill="1" applyBorder="1" applyAlignment="1">
      <alignment horizontal="left" vertical="top" wrapText="1"/>
    </xf>
    <xf numFmtId="0" fontId="1" fillId="0" borderId="1" xfId="0" applyFont="1" applyBorder="1" applyAlignment="1">
      <alignment horizontal="left" vertical="center"/>
    </xf>
    <xf numFmtId="14" fontId="3" fillId="0" borderId="1" xfId="0" applyNumberFormat="1" applyFont="1" applyFill="1" applyBorder="1" applyAlignment="1">
      <alignment vertical="center" wrapText="1"/>
    </xf>
    <xf numFmtId="0" fontId="1" fillId="0" borderId="1" xfId="0" applyFont="1" applyBorder="1" applyAlignment="1">
      <alignment horizontal="left" vertical="top"/>
    </xf>
    <xf numFmtId="0" fontId="1" fillId="0" borderId="2" xfId="0" applyFont="1" applyBorder="1" applyAlignment="1"/>
    <xf numFmtId="0" fontId="0" fillId="0" borderId="0" xfId="0" applyBorder="1" applyAlignment="1"/>
    <xf numFmtId="0" fontId="0" fillId="0" borderId="0" xfId="0" applyFill="1" applyBorder="1" applyAlignment="1"/>
    <xf numFmtId="1" fontId="0" fillId="0" borderId="1" xfId="0" applyNumberFormat="1" applyFill="1" applyBorder="1"/>
    <xf numFmtId="0" fontId="1" fillId="0" borderId="21" xfId="0" applyFont="1" applyFill="1" applyBorder="1"/>
    <xf numFmtId="0" fontId="0" fillId="0" borderId="22" xfId="0" applyFill="1" applyBorder="1"/>
    <xf numFmtId="0" fontId="1" fillId="0" borderId="6" xfId="0" applyFont="1" applyBorder="1" applyAlignment="1">
      <alignment horizontal="justify" vertical="center" wrapText="1"/>
    </xf>
    <xf numFmtId="0" fontId="1" fillId="0" borderId="7" xfId="0" applyFont="1"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0" fillId="0" borderId="10" xfId="0" applyBorder="1" applyAlignment="1">
      <alignment horizontal="justify" vertical="center" wrapText="1"/>
    </xf>
    <xf numFmtId="1" fontId="0" fillId="0" borderId="0" xfId="0" applyNumberFormat="1" applyFill="1"/>
    <xf numFmtId="1" fontId="0" fillId="0" borderId="1" xfId="0" applyNumberFormat="1" applyBorder="1"/>
    <xf numFmtId="1" fontId="0" fillId="0" borderId="0" xfId="0" applyNumberFormat="1"/>
    <xf numFmtId="0" fontId="1" fillId="0" borderId="3" xfId="0" applyFont="1" applyBorder="1"/>
    <xf numFmtId="0" fontId="0" fillId="0" borderId="4" xfId="0" applyBorder="1"/>
    <xf numFmtId="0" fontId="0" fillId="0" borderId="5" xfId="0" applyBorder="1"/>
    <xf numFmtId="0" fontId="2" fillId="0" borderId="6" xfId="0" applyFont="1" applyBorder="1" applyAlignment="1">
      <alignment vertical="center" wrapText="1"/>
    </xf>
    <xf numFmtId="0" fontId="2" fillId="0" borderId="7"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9" fontId="3" fillId="0" borderId="9" xfId="0" applyNumberFormat="1" applyFont="1" applyBorder="1" applyAlignment="1">
      <alignment horizontal="right" vertical="center" wrapText="1"/>
    </xf>
    <xf numFmtId="0" fontId="0" fillId="0" borderId="0" xfId="0" applyBorder="1" applyAlignment="1">
      <alignment vertical="top" wrapText="1"/>
    </xf>
    <xf numFmtId="3" fontId="0" fillId="0" borderId="0" xfId="0" applyNumberFormat="1" applyBorder="1"/>
    <xf numFmtId="1" fontId="0" fillId="0" borderId="2" xfId="0" applyNumberFormat="1" applyBorder="1"/>
    <xf numFmtId="1" fontId="0" fillId="0" borderId="1" xfId="0" applyNumberFormat="1" applyFill="1" applyBorder="1" applyAlignment="1">
      <alignment wrapText="1"/>
    </xf>
    <xf numFmtId="0" fontId="0" fillId="0" borderId="1" xfId="0" applyFont="1" applyBorder="1"/>
    <xf numFmtId="0" fontId="0" fillId="0" borderId="1" xfId="0" applyFont="1" applyFill="1" applyBorder="1"/>
    <xf numFmtId="0" fontId="0" fillId="0" borderId="1" xfId="0" applyBorder="1" applyAlignment="1">
      <alignment horizontal="center"/>
    </xf>
    <xf numFmtId="0" fontId="0" fillId="0" borderId="0" xfId="0" applyBorder="1" applyAlignment="1">
      <alignment horizontal="left" vertical="top" wrapText="1"/>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10" fontId="0" fillId="0" borderId="0" xfId="3" applyNumberFormat="1" applyFont="1"/>
    <xf numFmtId="43" fontId="0" fillId="0" borderId="0" xfId="2" applyFont="1"/>
    <xf numFmtId="43" fontId="0" fillId="0" borderId="0" xfId="0" applyNumberFormat="1"/>
    <xf numFmtId="43" fontId="0" fillId="0" borderId="0" xfId="0" applyNumberFormat="1" applyBorder="1"/>
    <xf numFmtId="0" fontId="2" fillId="2" borderId="1" xfId="0" applyFont="1" applyFill="1" applyBorder="1" applyAlignment="1">
      <alignment vertical="center" wrapText="1"/>
    </xf>
    <xf numFmtId="0" fontId="2" fillId="3" borderId="1" xfId="0" applyFont="1" applyFill="1" applyBorder="1" applyAlignment="1">
      <alignment vertical="center" wrapText="1"/>
    </xf>
    <xf numFmtId="0" fontId="2" fillId="4" borderId="1" xfId="0" applyFont="1" applyFill="1" applyBorder="1" applyAlignment="1">
      <alignment vertical="center" wrapText="1"/>
    </xf>
    <xf numFmtId="0" fontId="2" fillId="5" borderId="1" xfId="0" applyFont="1" applyFill="1" applyBorder="1" applyAlignment="1">
      <alignment vertical="center" wrapText="1"/>
    </xf>
    <xf numFmtId="2" fontId="0" fillId="0" borderId="0" xfId="0" applyNumberFormat="1"/>
    <xf numFmtId="43" fontId="0" fillId="0" borderId="1" xfId="2" applyFont="1" applyFill="1" applyBorder="1" applyAlignment="1">
      <alignment wrapText="1"/>
    </xf>
    <xf numFmtId="0" fontId="0" fillId="0" borderId="20" xfId="0" applyBorder="1" applyAlignment="1">
      <alignment horizontal="center"/>
    </xf>
    <xf numFmtId="0" fontId="0" fillId="0" borderId="20" xfId="0" applyBorder="1"/>
    <xf numFmtId="43" fontId="3" fillId="0" borderId="1" xfId="2" applyFont="1" applyFill="1" applyBorder="1" applyAlignment="1">
      <alignment horizontal="right" vertical="center"/>
    </xf>
    <xf numFmtId="43" fontId="0" fillId="0" borderId="1" xfId="2" applyFont="1" applyFill="1" applyBorder="1" applyAlignment="1">
      <alignment vertical="center" wrapText="1"/>
    </xf>
    <xf numFmtId="43" fontId="3" fillId="0" borderId="1" xfId="2" applyFont="1" applyFill="1" applyBorder="1" applyAlignment="1">
      <alignment vertical="center" wrapText="1"/>
    </xf>
    <xf numFmtId="43" fontId="0" fillId="0" borderId="0" xfId="2" applyFont="1" applyFill="1"/>
    <xf numFmtId="43" fontId="1" fillId="7" borderId="1" xfId="2" applyFont="1" applyFill="1" applyBorder="1" applyAlignment="1">
      <alignment wrapText="1"/>
    </xf>
    <xf numFmtId="43" fontId="1" fillId="9" borderId="1" xfId="2" applyFont="1" applyFill="1" applyBorder="1" applyAlignment="1">
      <alignment wrapText="1"/>
    </xf>
    <xf numFmtId="43" fontId="1" fillId="3" borderId="1" xfId="2" applyFont="1" applyFill="1" applyBorder="1" applyAlignment="1">
      <alignment wrapText="1"/>
    </xf>
    <xf numFmtId="43" fontId="1" fillId="0" borderId="1" xfId="2" applyFont="1" applyFill="1" applyBorder="1" applyAlignment="1">
      <alignment wrapText="1"/>
    </xf>
    <xf numFmtId="43" fontId="1" fillId="6" borderId="1" xfId="2" applyFont="1" applyFill="1" applyBorder="1" applyAlignment="1">
      <alignment wrapText="1"/>
    </xf>
    <xf numFmtId="165" fontId="0" fillId="0" borderId="0" xfId="2" applyNumberFormat="1" applyFont="1"/>
    <xf numFmtId="0" fontId="0" fillId="0" borderId="0" xfId="0" applyFont="1"/>
    <xf numFmtId="0" fontId="9" fillId="0" borderId="21" xfId="0" applyFont="1" applyBorder="1"/>
    <xf numFmtId="6" fontId="9" fillId="0" borderId="0" xfId="0" applyNumberFormat="1" applyFont="1" applyBorder="1" applyAlignment="1">
      <alignment horizontal="center"/>
    </xf>
    <xf numFmtId="0" fontId="9" fillId="0" borderId="0" xfId="0" applyFont="1" applyBorder="1"/>
    <xf numFmtId="0" fontId="10" fillId="0" borderId="21" xfId="0" applyFont="1" applyBorder="1"/>
    <xf numFmtId="6" fontId="9" fillId="0" borderId="0" xfId="0" applyNumberFormat="1" applyFont="1" applyFill="1" applyBorder="1" applyAlignment="1">
      <alignment horizontal="center"/>
    </xf>
    <xf numFmtId="164" fontId="9" fillId="0" borderId="0" xfId="1" applyNumberFormat="1" applyFont="1" applyFill="1" applyBorder="1"/>
    <xf numFmtId="0" fontId="0" fillId="0" borderId="0" xfId="0" applyFont="1" applyFill="1" applyBorder="1"/>
    <xf numFmtId="165" fontId="0" fillId="0" borderId="0" xfId="0" applyNumberFormat="1" applyFont="1"/>
    <xf numFmtId="165" fontId="1" fillId="0" borderId="0" xfId="0" applyNumberFormat="1" applyFont="1"/>
    <xf numFmtId="43" fontId="1" fillId="0" borderId="0" xfId="0" applyNumberFormat="1" applyFont="1"/>
    <xf numFmtId="8" fontId="0" fillId="0" borderId="0" xfId="0" applyNumberFormat="1" applyFont="1"/>
    <xf numFmtId="43" fontId="0" fillId="0" borderId="0" xfId="0" applyNumberFormat="1" applyFont="1" applyBorder="1"/>
    <xf numFmtId="165" fontId="11" fillId="0" borderId="0" xfId="0" applyNumberFormat="1" applyFont="1" applyBorder="1"/>
    <xf numFmtId="165" fontId="0" fillId="0" borderId="0" xfId="0" applyNumberFormat="1" applyFont="1" applyBorder="1"/>
    <xf numFmtId="0" fontId="0" fillId="0" borderId="0" xfId="0" applyFont="1" applyBorder="1"/>
    <xf numFmtId="43" fontId="0" fillId="0" borderId="0" xfId="0" applyNumberFormat="1" applyFill="1" applyBorder="1" applyAlignment="1">
      <alignment horizontal="left" vertical="top" wrapText="1"/>
    </xf>
    <xf numFmtId="1" fontId="0" fillId="0" borderId="0" xfId="0" applyNumberFormat="1" applyFill="1" applyBorder="1"/>
    <xf numFmtId="164" fontId="0" fillId="0" borderId="0" xfId="0" applyNumberFormat="1" applyFont="1" applyFill="1" applyBorder="1"/>
    <xf numFmtId="44" fontId="9" fillId="0" borderId="0" xfId="1" applyNumberFormat="1" applyFont="1" applyFill="1" applyBorder="1"/>
    <xf numFmtId="43" fontId="0" fillId="0" borderId="1" xfId="2" applyFont="1" applyBorder="1" applyAlignment="1">
      <alignment horizontal="center"/>
    </xf>
    <xf numFmtId="43" fontId="0" fillId="0" borderId="1" xfId="2" applyFont="1" applyBorder="1" applyAlignment="1">
      <alignment horizontal="right"/>
    </xf>
    <xf numFmtId="43" fontId="0" fillId="0" borderId="1" xfId="2" applyFont="1" applyBorder="1"/>
    <xf numFmtId="43" fontId="0" fillId="8" borderId="1" xfId="2" applyFont="1" applyFill="1" applyBorder="1" applyAlignment="1">
      <alignment horizontal="right"/>
    </xf>
    <xf numFmtId="43" fontId="0" fillId="8" borderId="1" xfId="2" applyFont="1" applyFill="1" applyBorder="1"/>
    <xf numFmtId="43" fontId="0" fillId="12" borderId="1" xfId="2" applyFont="1" applyFill="1" applyBorder="1" applyAlignment="1">
      <alignment horizontal="right"/>
    </xf>
    <xf numFmtId="43" fontId="0" fillId="12" borderId="1" xfId="2" applyFont="1" applyFill="1" applyBorder="1"/>
    <xf numFmtId="9" fontId="8" fillId="0" borderId="1" xfId="0" applyNumberFormat="1" applyFont="1" applyBorder="1"/>
    <xf numFmtId="10" fontId="8" fillId="0" borderId="1" xfId="0" applyNumberFormat="1" applyFont="1" applyBorder="1"/>
    <xf numFmtId="0" fontId="1" fillId="0" borderId="1" xfId="0" applyFont="1" applyBorder="1" applyAlignment="1">
      <alignment horizontal="left"/>
    </xf>
    <xf numFmtId="0" fontId="2" fillId="0" borderId="1" xfId="0" applyFont="1" applyFill="1" applyBorder="1" applyAlignment="1">
      <alignment horizontal="left" vertical="center" wrapText="1"/>
    </xf>
    <xf numFmtId="0" fontId="0" fillId="0" borderId="1" xfId="0" applyBorder="1" applyAlignment="1">
      <alignment horizontal="center"/>
    </xf>
    <xf numFmtId="0" fontId="1" fillId="0" borderId="1" xfId="0" applyFont="1" applyBorder="1" applyAlignment="1">
      <alignment horizontal="center"/>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9" fontId="1" fillId="0" borderId="1" xfId="0" applyNumberFormat="1" applyFont="1" applyBorder="1" applyAlignment="1">
      <alignment horizontal="left"/>
    </xf>
    <xf numFmtId="0" fontId="3" fillId="0" borderId="1" xfId="0" applyFont="1" applyFill="1" applyBorder="1" applyAlignment="1">
      <alignment horizontal="left" vertical="center" wrapText="1"/>
    </xf>
    <xf numFmtId="0" fontId="9" fillId="11" borderId="0" xfId="0" applyFont="1" applyFill="1" applyBorder="1"/>
    <xf numFmtId="0" fontId="7" fillId="0" borderId="0" xfId="0" applyFont="1" applyBorder="1"/>
    <xf numFmtId="0" fontId="10" fillId="0" borderId="21" xfId="0" applyFont="1" applyFill="1" applyBorder="1"/>
    <xf numFmtId="0" fontId="9" fillId="0" borderId="0" xfId="0" applyFont="1" applyFill="1" applyBorder="1"/>
    <xf numFmtId="0" fontId="13" fillId="0" borderId="21" xfId="0" applyFont="1" applyFill="1" applyBorder="1"/>
    <xf numFmtId="0" fontId="4" fillId="0" borderId="0" xfId="0" applyFont="1" applyFill="1" applyBorder="1"/>
    <xf numFmtId="0" fontId="0" fillId="0" borderId="0" xfId="0" applyFont="1" applyFill="1"/>
    <xf numFmtId="165" fontId="0" fillId="0" borderId="1" xfId="0" applyNumberFormat="1" applyFont="1" applyBorder="1"/>
    <xf numFmtId="0" fontId="9" fillId="0" borderId="1" xfId="0" applyFont="1" applyFill="1" applyBorder="1"/>
    <xf numFmtId="6" fontId="9" fillId="0" borderId="1" xfId="0" applyNumberFormat="1" applyFont="1" applyFill="1" applyBorder="1" applyAlignment="1">
      <alignment horizontal="center"/>
    </xf>
    <xf numFmtId="164" fontId="9" fillId="0" borderId="1" xfId="1" applyNumberFormat="1" applyFont="1" applyFill="1" applyBorder="1"/>
    <xf numFmtId="0" fontId="10" fillId="0" borderId="1" xfId="0" applyFont="1" applyFill="1" applyBorder="1"/>
    <xf numFmtId="44" fontId="9" fillId="0" borderId="1" xfId="1" applyNumberFormat="1" applyFont="1" applyFill="1" applyBorder="1"/>
    <xf numFmtId="0" fontId="9" fillId="0" borderId="1" xfId="0" applyFont="1" applyBorder="1"/>
    <xf numFmtId="6" fontId="9" fillId="0" borderId="1" xfId="0" applyNumberFormat="1" applyFont="1" applyBorder="1" applyAlignment="1">
      <alignment horizontal="center"/>
    </xf>
    <xf numFmtId="0" fontId="10" fillId="0" borderId="1" xfId="0" applyFont="1" applyBorder="1"/>
    <xf numFmtId="164" fontId="9" fillId="10" borderId="1" xfId="1" applyNumberFormat="1" applyFont="1" applyFill="1" applyBorder="1"/>
    <xf numFmtId="0" fontId="4" fillId="0" borderId="0" xfId="0" applyFont="1" applyFill="1" applyBorder="1" applyAlignment="1">
      <alignment horizontal="left" vertical="top"/>
    </xf>
    <xf numFmtId="0" fontId="1" fillId="0" borderId="0" xfId="0" applyFont="1" applyFill="1" applyBorder="1" applyAlignment="1">
      <alignment horizontal="left" vertical="top"/>
    </xf>
    <xf numFmtId="0" fontId="0" fillId="0" borderId="0" xfId="0" applyBorder="1" applyAlignment="1">
      <alignment horizontal="justify" vertical="center" wrapText="1"/>
    </xf>
    <xf numFmtId="0" fontId="1" fillId="0" borderId="0" xfId="0" applyFont="1" applyBorder="1" applyAlignment="1">
      <alignment horizontal="justify" vertical="center" wrapText="1"/>
    </xf>
    <xf numFmtId="0" fontId="4" fillId="0" borderId="0" xfId="0" applyFont="1" applyBorder="1"/>
    <xf numFmtId="0" fontId="13" fillId="0" borderId="0" xfId="0" applyFont="1" applyFill="1" applyBorder="1"/>
    <xf numFmtId="0" fontId="4" fillId="0" borderId="0" xfId="0" applyFont="1" applyFill="1" applyBorder="1" applyAlignment="1">
      <alignment horizontal="left"/>
    </xf>
    <xf numFmtId="9" fontId="8" fillId="0" borderId="1" xfId="0" applyNumberFormat="1" applyFont="1" applyFill="1" applyBorder="1" applyAlignment="1">
      <alignment horizontal="left" vertical="center"/>
    </xf>
    <xf numFmtId="43" fontId="1" fillId="0" borderId="1" xfId="2" applyFont="1" applyFill="1" applyBorder="1" applyAlignment="1">
      <alignment vertical="center" wrapText="1"/>
    </xf>
    <xf numFmtId="43" fontId="0" fillId="0" borderId="1" xfId="0" applyNumberFormat="1" applyFill="1" applyBorder="1"/>
    <xf numFmtId="43" fontId="0" fillId="0" borderId="1" xfId="2" applyFont="1" applyFill="1" applyBorder="1"/>
    <xf numFmtId="0" fontId="3" fillId="0" borderId="0" xfId="0" applyFont="1" applyFill="1" applyBorder="1" applyAlignment="1">
      <alignment horizontal="left" vertical="center" wrapText="1"/>
    </xf>
    <xf numFmtId="0" fontId="0" fillId="0" borderId="0" xfId="0" applyBorder="1" applyAlignment="1">
      <alignment horizontal="left"/>
    </xf>
    <xf numFmtId="43" fontId="0" fillId="0" borderId="1" xfId="2" applyFont="1" applyFill="1" applyBorder="1" applyAlignment="1">
      <alignment horizontal="center"/>
    </xf>
    <xf numFmtId="43" fontId="0" fillId="0" borderId="1" xfId="2" applyFont="1" applyFill="1" applyBorder="1" applyAlignment="1">
      <alignment horizontal="right"/>
    </xf>
    <xf numFmtId="165" fontId="0" fillId="0" borderId="1" xfId="2" applyNumberFormat="1" applyFont="1" applyBorder="1"/>
    <xf numFmtId="0" fontId="9" fillId="11" borderId="0" xfId="0" applyFont="1" applyFill="1" applyBorder="1" applyAlignment="1">
      <alignment horizontal="left"/>
    </xf>
    <xf numFmtId="10" fontId="0" fillId="0" borderId="1" xfId="3" applyNumberFormat="1" applyFont="1" applyBorder="1"/>
    <xf numFmtId="43" fontId="0" fillId="0" borderId="1" xfId="0" applyNumberFormat="1" applyFont="1" applyBorder="1"/>
    <xf numFmtId="0" fontId="1" fillId="0" borderId="0" xfId="0" applyFont="1" applyBorder="1" applyAlignment="1"/>
    <xf numFmtId="0" fontId="1" fillId="0" borderId="1" xfId="0" applyFont="1" applyBorder="1" applyAlignment="1"/>
    <xf numFmtId="10" fontId="0" fillId="0" borderId="1" xfId="0" applyNumberFormat="1" applyBorder="1"/>
    <xf numFmtId="1" fontId="0" fillId="0" borderId="1" xfId="0" applyNumberFormat="1" applyFill="1" applyBorder="1" applyAlignment="1">
      <alignment horizontal="left"/>
    </xf>
    <xf numFmtId="0" fontId="0" fillId="0" borderId="0" xfId="0" applyBorder="1" applyAlignment="1">
      <alignment wrapText="1"/>
    </xf>
    <xf numFmtId="43" fontId="0" fillId="0" borderId="0" xfId="2" applyFont="1" applyBorder="1"/>
    <xf numFmtId="10" fontId="0" fillId="0" borderId="0" xfId="3" applyNumberFormat="1" applyFont="1" applyBorder="1"/>
    <xf numFmtId="0" fontId="8" fillId="0" borderId="0" xfId="0" applyFont="1"/>
    <xf numFmtId="0" fontId="10" fillId="0" borderId="2" xfId="0" applyFont="1" applyBorder="1" applyAlignment="1">
      <alignment horizontal="left"/>
    </xf>
    <xf numFmtId="0" fontId="10" fillId="0" borderId="16" xfId="0" applyFont="1" applyBorder="1" applyAlignment="1">
      <alignment horizontal="left"/>
    </xf>
    <xf numFmtId="0" fontId="10" fillId="0" borderId="14" xfId="0" applyFont="1" applyBorder="1" applyAlignment="1">
      <alignment horizontal="left"/>
    </xf>
    <xf numFmtId="0" fontId="2" fillId="0" borderId="1" xfId="0" applyFont="1" applyFill="1" applyBorder="1" applyAlignment="1">
      <alignment horizontal="left" vertical="center" wrapText="1"/>
    </xf>
    <xf numFmtId="0" fontId="1" fillId="0" borderId="2" xfId="0" applyFont="1" applyBorder="1" applyAlignment="1">
      <alignment horizontal="left"/>
    </xf>
    <xf numFmtId="0" fontId="1" fillId="0" borderId="14" xfId="0" applyFont="1" applyBorder="1" applyAlignment="1">
      <alignment horizontal="left"/>
    </xf>
    <xf numFmtId="0" fontId="0" fillId="0" borderId="1" xfId="0" applyBorder="1" applyAlignment="1">
      <alignment horizontal="left"/>
    </xf>
    <xf numFmtId="0" fontId="0" fillId="0" borderId="1" xfId="0" applyBorder="1" applyAlignment="1">
      <alignment horizontal="center" vertical="top" wrapText="1"/>
    </xf>
    <xf numFmtId="0" fontId="0" fillId="0" borderId="17" xfId="0" applyBorder="1" applyAlignment="1">
      <alignment horizontal="left" vertical="top" wrapText="1"/>
    </xf>
    <xf numFmtId="0" fontId="0" fillId="0" borderId="23" xfId="0" applyBorder="1" applyAlignment="1">
      <alignment horizontal="left" vertical="top" wrapText="1"/>
    </xf>
    <xf numFmtId="0" fontId="0" fillId="0" borderId="18" xfId="0" applyBorder="1" applyAlignment="1">
      <alignment horizontal="left" vertical="top" wrapText="1"/>
    </xf>
    <xf numFmtId="0" fontId="0" fillId="0" borderId="25" xfId="0" applyBorder="1" applyAlignment="1">
      <alignment horizontal="left" vertical="top" wrapText="1"/>
    </xf>
    <xf numFmtId="0" fontId="0" fillId="0" borderId="19" xfId="0" applyBorder="1" applyAlignment="1">
      <alignment horizontal="left" vertical="top" wrapText="1"/>
    </xf>
    <xf numFmtId="0" fontId="0" fillId="0" borderId="24" xfId="0" applyBorder="1" applyAlignment="1">
      <alignment horizontal="left" vertical="top" wrapText="1"/>
    </xf>
    <xf numFmtId="0" fontId="1" fillId="0" borderId="1" xfId="0" applyFont="1" applyBorder="1" applyAlignment="1">
      <alignment horizontal="left"/>
    </xf>
    <xf numFmtId="0" fontId="4" fillId="0" borderId="0" xfId="0" applyFont="1" applyFill="1" applyBorder="1" applyAlignment="1">
      <alignment horizontal="left" vertical="top"/>
    </xf>
    <xf numFmtId="0" fontId="1" fillId="0" borderId="0" xfId="0" applyFont="1" applyFill="1" applyBorder="1" applyAlignment="1">
      <alignment horizontal="left" vertical="top"/>
    </xf>
    <xf numFmtId="0" fontId="0" fillId="0" borderId="1" xfId="0" applyFill="1" applyBorder="1" applyAlignment="1">
      <alignment horizontal="left" wrapText="1"/>
    </xf>
    <xf numFmtId="0" fontId="1" fillId="0" borderId="11" xfId="0" applyFont="1" applyFill="1" applyBorder="1" applyAlignment="1">
      <alignment horizontal="left"/>
    </xf>
    <xf numFmtId="0" fontId="1" fillId="0" borderId="12" xfId="0" applyFont="1" applyFill="1" applyBorder="1" applyAlignment="1">
      <alignment horizontal="left"/>
    </xf>
    <xf numFmtId="0" fontId="1" fillId="0" borderId="1" xfId="0" applyFont="1" applyBorder="1" applyAlignment="1">
      <alignment horizontal="left" wrapText="1"/>
    </xf>
    <xf numFmtId="0" fontId="1" fillId="2" borderId="0" xfId="0" applyFont="1" applyFill="1" applyAlignment="1">
      <alignment horizontal="left" wrapText="1"/>
    </xf>
    <xf numFmtId="0" fontId="9" fillId="0" borderId="2" xfId="0" applyFont="1" applyBorder="1" applyAlignment="1">
      <alignment horizontal="left"/>
    </xf>
    <xf numFmtId="0" fontId="9" fillId="0" borderId="16" xfId="0" applyFont="1" applyBorder="1" applyAlignment="1">
      <alignment horizontal="left"/>
    </xf>
    <xf numFmtId="0" fontId="9" fillId="0" borderId="14" xfId="0" applyFont="1" applyBorder="1" applyAlignment="1">
      <alignment horizontal="left"/>
    </xf>
    <xf numFmtId="0" fontId="0" fillId="0" borderId="1" xfId="0" applyBorder="1" applyAlignment="1">
      <alignment horizontal="left" vertical="top" wrapText="1"/>
    </xf>
    <xf numFmtId="0" fontId="1" fillId="0" borderId="2" xfId="0" applyFont="1" applyFill="1" applyBorder="1" applyAlignment="1">
      <alignment horizontal="center"/>
    </xf>
    <xf numFmtId="0" fontId="1" fillId="0" borderId="16" xfId="0" applyFont="1" applyFill="1" applyBorder="1" applyAlignment="1">
      <alignment horizontal="center"/>
    </xf>
    <xf numFmtId="0" fontId="1" fillId="0" borderId="14" xfId="0" applyFont="1" applyFill="1" applyBorder="1" applyAlignment="1">
      <alignment horizontal="center"/>
    </xf>
    <xf numFmtId="0" fontId="9" fillId="11" borderId="1" xfId="0" applyFont="1" applyFill="1" applyBorder="1" applyAlignment="1">
      <alignment horizontal="left"/>
    </xf>
    <xf numFmtId="0" fontId="1" fillId="0" borderId="1" xfId="0" applyFont="1" applyFill="1" applyBorder="1" applyAlignment="1">
      <alignment horizontal="left"/>
    </xf>
    <xf numFmtId="0" fontId="2" fillId="0" borderId="0" xfId="0" applyFont="1" applyFill="1" applyBorder="1" applyAlignment="1">
      <alignment horizontal="left" vertical="center" wrapText="1"/>
    </xf>
    <xf numFmtId="0" fontId="0" fillId="0" borderId="2"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0" fontId="0" fillId="0" borderId="2" xfId="0" applyFill="1" applyBorder="1" applyAlignment="1">
      <alignment horizontal="left" wrapText="1"/>
    </xf>
    <xf numFmtId="0" fontId="0" fillId="0" borderId="16" xfId="0" applyFill="1" applyBorder="1" applyAlignment="1">
      <alignment horizontal="left" wrapText="1"/>
    </xf>
    <xf numFmtId="0" fontId="0" fillId="0" borderId="14" xfId="0" applyFill="1" applyBorder="1" applyAlignment="1">
      <alignment horizontal="left" wrapText="1"/>
    </xf>
    <xf numFmtId="0" fontId="0" fillId="0" borderId="1" xfId="0" applyFill="1" applyBorder="1" applyAlignment="1">
      <alignment horizontal="left"/>
    </xf>
    <xf numFmtId="0" fontId="0" fillId="0" borderId="1" xfId="0" applyFill="1" applyBorder="1" applyAlignment="1">
      <alignment horizontal="left" vertical="top" wrapText="1"/>
    </xf>
    <xf numFmtId="9" fontId="0" fillId="0" borderId="1" xfId="0" applyNumberFormat="1" applyFill="1" applyBorder="1" applyAlignment="1">
      <alignment horizontal="left"/>
    </xf>
    <xf numFmtId="9" fontId="1" fillId="0" borderId="1" xfId="0" applyNumberFormat="1" applyFont="1" applyBorder="1" applyAlignment="1">
      <alignment horizontal="left"/>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06"/>
  <sheetViews>
    <sheetView topLeftCell="A63" zoomScale="75" zoomScaleNormal="75" workbookViewId="0">
      <selection activeCell="F76" sqref="F76"/>
    </sheetView>
  </sheetViews>
  <sheetFormatPr defaultRowHeight="15" x14ac:dyDescent="0.25"/>
  <cols>
    <col min="1" max="1" width="43.28515625" customWidth="1"/>
    <col min="2" max="2" width="18" customWidth="1"/>
    <col min="3" max="3" width="21.42578125" customWidth="1"/>
    <col min="4" max="4" width="18.85546875" customWidth="1"/>
    <col min="5" max="5" width="29" customWidth="1"/>
    <col min="6" max="6" width="18.42578125" customWidth="1"/>
    <col min="7" max="7" width="16" customWidth="1"/>
    <col min="8" max="8" width="15.7109375" bestFit="1" customWidth="1"/>
    <col min="9" max="9" width="12.5703125" customWidth="1"/>
    <col min="10" max="10" width="17.140625" customWidth="1"/>
    <col min="11" max="11" width="13.42578125" customWidth="1"/>
    <col min="12" max="12" width="14.85546875" customWidth="1"/>
    <col min="13" max="13" width="18.42578125" bestFit="1" customWidth="1"/>
    <col min="14" max="14" width="15.7109375" bestFit="1" customWidth="1"/>
    <col min="15" max="15" width="12.28515625" customWidth="1"/>
    <col min="16" max="16" width="12.7109375" bestFit="1" customWidth="1"/>
    <col min="17" max="17" width="15.28515625" customWidth="1"/>
    <col min="18" max="18" width="16" customWidth="1"/>
    <col min="19" max="19" width="13.28515625" bestFit="1" customWidth="1"/>
    <col min="20" max="20" width="21.85546875" customWidth="1"/>
    <col min="21" max="21" width="12.140625" customWidth="1"/>
    <col min="22" max="22" width="16.7109375" customWidth="1"/>
    <col min="23" max="23" width="17.140625" customWidth="1"/>
    <col min="24" max="24" width="17" customWidth="1"/>
  </cols>
  <sheetData>
    <row r="1" spans="1:17" x14ac:dyDescent="0.25">
      <c r="A1" s="9" t="s">
        <v>163</v>
      </c>
    </row>
    <row r="2" spans="1:17" x14ac:dyDescent="0.25">
      <c r="A2" s="202" t="s">
        <v>175</v>
      </c>
    </row>
    <row r="3" spans="1:17" x14ac:dyDescent="0.25">
      <c r="A3" s="1"/>
    </row>
    <row r="4" spans="1:17" x14ac:dyDescent="0.25">
      <c r="A4" s="9" t="s">
        <v>160</v>
      </c>
      <c r="C4" s="120"/>
    </row>
    <row r="5" spans="1:17" x14ac:dyDescent="0.25">
      <c r="A5" s="9"/>
      <c r="C5" s="120"/>
    </row>
    <row r="6" spans="1:17" x14ac:dyDescent="0.25">
      <c r="A6" s="207" t="s">
        <v>27</v>
      </c>
      <c r="B6" s="208"/>
      <c r="C6" s="22">
        <v>1464</v>
      </c>
      <c r="D6" s="209" t="s">
        <v>28</v>
      </c>
      <c r="E6" s="209"/>
      <c r="F6" s="209"/>
    </row>
    <row r="8" spans="1:17" ht="15" customHeight="1" x14ac:dyDescent="0.25">
      <c r="A8" s="64" t="s">
        <v>25</v>
      </c>
      <c r="B8" s="210" t="s">
        <v>75</v>
      </c>
      <c r="C8" s="210"/>
      <c r="D8" s="88"/>
      <c r="E8" s="88"/>
    </row>
    <row r="9" spans="1:17" x14ac:dyDescent="0.25">
      <c r="A9" s="33"/>
      <c r="B9" s="34"/>
      <c r="C9" s="35"/>
      <c r="D9" s="35"/>
    </row>
    <row r="10" spans="1:17" x14ac:dyDescent="0.25">
      <c r="A10" s="14" t="s">
        <v>51</v>
      </c>
      <c r="G10" s="13"/>
      <c r="I10" s="13"/>
      <c r="J10" s="13"/>
      <c r="K10" s="13"/>
      <c r="L10" s="13"/>
      <c r="M10" s="13"/>
    </row>
    <row r="11" spans="1:17" x14ac:dyDescent="0.25">
      <c r="A11" s="16" t="s">
        <v>0</v>
      </c>
      <c r="B11" s="16" t="s">
        <v>2</v>
      </c>
      <c r="C11" s="16" t="s">
        <v>3</v>
      </c>
      <c r="D11" s="16" t="s">
        <v>4</v>
      </c>
      <c r="E11" s="16" t="s">
        <v>5</v>
      </c>
      <c r="G11" s="13"/>
      <c r="I11" s="13"/>
      <c r="J11" s="13"/>
      <c r="K11" s="13"/>
      <c r="L11" s="13"/>
      <c r="M11" s="13"/>
    </row>
    <row r="12" spans="1:17" x14ac:dyDescent="0.25">
      <c r="A12" s="17" t="s">
        <v>7</v>
      </c>
      <c r="B12" s="6">
        <v>0.5</v>
      </c>
      <c r="C12" s="6">
        <v>0.3</v>
      </c>
      <c r="D12" s="6">
        <v>0.1</v>
      </c>
      <c r="E12" s="6">
        <v>0.1</v>
      </c>
      <c r="G12" s="13"/>
      <c r="H12" s="13"/>
      <c r="I12" s="13"/>
      <c r="J12" s="13"/>
      <c r="K12" s="13"/>
      <c r="M12" s="13"/>
      <c r="N12" s="13"/>
      <c r="O12" s="13"/>
      <c r="P12" s="13"/>
      <c r="Q12" s="13"/>
    </row>
    <row r="13" spans="1:17" x14ac:dyDescent="0.25">
      <c r="A13" s="17" t="s">
        <v>8</v>
      </c>
      <c r="B13" s="6">
        <v>0.25</v>
      </c>
      <c r="C13" s="6">
        <v>0.5</v>
      </c>
      <c r="D13" s="6">
        <v>0.25</v>
      </c>
      <c r="E13" s="6">
        <v>0</v>
      </c>
      <c r="G13" s="13"/>
      <c r="H13" s="13"/>
      <c r="I13" s="13"/>
      <c r="J13" s="13"/>
      <c r="K13" s="13"/>
      <c r="M13" s="13"/>
      <c r="N13" s="13"/>
      <c r="O13" s="13"/>
      <c r="P13" s="13"/>
      <c r="Q13" s="13"/>
    </row>
    <row r="14" spans="1:17" x14ac:dyDescent="0.25">
      <c r="A14" s="17" t="s">
        <v>9</v>
      </c>
      <c r="B14" s="6">
        <v>0.3</v>
      </c>
      <c r="C14" s="6">
        <v>0.25</v>
      </c>
      <c r="D14" s="6">
        <v>0.3</v>
      </c>
      <c r="E14" s="6">
        <v>0.15</v>
      </c>
      <c r="G14" s="13"/>
      <c r="H14" s="13"/>
      <c r="I14" s="13"/>
      <c r="J14" s="13"/>
      <c r="K14" s="13"/>
      <c r="M14" s="13"/>
      <c r="N14" s="13"/>
      <c r="O14" s="13"/>
      <c r="P14" s="13"/>
      <c r="Q14" s="13"/>
    </row>
    <row r="15" spans="1:17" x14ac:dyDescent="0.25">
      <c r="A15" s="32"/>
      <c r="B15" s="13"/>
      <c r="C15" s="13"/>
      <c r="D15" s="13"/>
      <c r="E15" s="13"/>
      <c r="G15" s="13"/>
      <c r="H15" s="13"/>
      <c r="I15" s="13"/>
      <c r="J15" s="13"/>
      <c r="K15" s="13"/>
      <c r="M15" s="13"/>
      <c r="N15" s="13"/>
      <c r="O15" s="13"/>
      <c r="P15" s="13"/>
      <c r="Q15" s="13"/>
    </row>
    <row r="16" spans="1:17" x14ac:dyDescent="0.25">
      <c r="A16" s="2" t="s">
        <v>52</v>
      </c>
      <c r="B16" s="148">
        <v>0.35</v>
      </c>
      <c r="C16" s="13"/>
    </row>
    <row r="17" spans="1:17" x14ac:dyDescent="0.25">
      <c r="A17" s="2" t="s">
        <v>26</v>
      </c>
      <c r="B17" s="2" t="s">
        <v>1</v>
      </c>
      <c r="C17" s="2" t="s">
        <v>7</v>
      </c>
      <c r="D17" s="36" t="s">
        <v>8</v>
      </c>
      <c r="E17" s="2" t="s">
        <v>9</v>
      </c>
    </row>
    <row r="18" spans="1:17" x14ac:dyDescent="0.25">
      <c r="A18" s="2" t="s">
        <v>12</v>
      </c>
      <c r="B18" s="2">
        <f>SUM(C18:E18)</f>
        <v>621.83400000000006</v>
      </c>
      <c r="C18" s="2">
        <f>($B$22*(100%-$B$16))*B12</f>
        <v>475.8</v>
      </c>
      <c r="D18" s="2">
        <f>($B$22*($B$16*0.3))*B13</f>
        <v>38.43</v>
      </c>
      <c r="E18" s="2">
        <f>($B$22*($B$16*0.7))*B14</f>
        <v>107.60399999999998</v>
      </c>
    </row>
    <row r="19" spans="1:17" x14ac:dyDescent="0.25">
      <c r="A19" s="2" t="s">
        <v>3</v>
      </c>
      <c r="B19" s="2">
        <f t="shared" ref="B19:B21" si="0">SUM(C19:E19)</f>
        <v>452.01</v>
      </c>
      <c r="C19" s="2">
        <f>($B$22*(100%-$B$16))*C12</f>
        <v>285.48</v>
      </c>
      <c r="D19" s="2">
        <f>($B$22*($B$16*0.3))*C13</f>
        <v>76.86</v>
      </c>
      <c r="E19" s="2">
        <f>($B$22*($B$16*0.7))*C14</f>
        <v>89.669999999999987</v>
      </c>
    </row>
    <row r="20" spans="1:17" x14ac:dyDescent="0.25">
      <c r="A20" s="2" t="s">
        <v>4</v>
      </c>
      <c r="B20" s="2">
        <f t="shared" si="0"/>
        <v>241.19399999999999</v>
      </c>
      <c r="C20" s="2">
        <f>($B$22*(100%-$B$16))*D12</f>
        <v>95.160000000000011</v>
      </c>
      <c r="D20" s="2">
        <f>($B$22*($B$16*0.3))*D13</f>
        <v>38.43</v>
      </c>
      <c r="E20" s="2">
        <f>($B$22*($B$16*0.7))*D14</f>
        <v>107.60399999999998</v>
      </c>
    </row>
    <row r="21" spans="1:17" x14ac:dyDescent="0.25">
      <c r="A21" s="2" t="s">
        <v>5</v>
      </c>
      <c r="B21" s="2">
        <f t="shared" si="0"/>
        <v>148.96199999999999</v>
      </c>
      <c r="C21" s="2">
        <f>($B$22*(100%-$B$16))*E12</f>
        <v>95.160000000000011</v>
      </c>
      <c r="D21" s="2">
        <f>($B$22*($B$16*0.3))*E13</f>
        <v>0</v>
      </c>
      <c r="E21" s="2">
        <f>($B$22*($B$16*0.7))*E14</f>
        <v>53.801999999999992</v>
      </c>
    </row>
    <row r="22" spans="1:17" x14ac:dyDescent="0.25">
      <c r="A22" s="2" t="s">
        <v>6</v>
      </c>
      <c r="B22" s="22">
        <f>C6</f>
        <v>1464</v>
      </c>
      <c r="C22" s="2">
        <f>SUM(C18:C21)</f>
        <v>951.59999999999991</v>
      </c>
      <c r="D22" s="2">
        <f>SUM(D18:D21)</f>
        <v>153.72</v>
      </c>
      <c r="E22" s="2">
        <f>SUM(E18:E21)</f>
        <v>358.67999999999995</v>
      </c>
    </row>
    <row r="23" spans="1:17" x14ac:dyDescent="0.25">
      <c r="A23" s="13"/>
      <c r="B23" s="89"/>
      <c r="C23" s="13"/>
      <c r="D23" s="13"/>
      <c r="E23" s="13"/>
      <c r="G23" s="13"/>
      <c r="H23" s="13"/>
      <c r="I23" s="13"/>
      <c r="J23" s="13"/>
      <c r="K23" s="13"/>
      <c r="M23" s="13"/>
      <c r="N23" s="13"/>
      <c r="O23" s="13"/>
      <c r="P23" s="13"/>
      <c r="Q23" s="13"/>
    </row>
    <row r="24" spans="1:17" x14ac:dyDescent="0.25">
      <c r="A24" s="218" t="s">
        <v>56</v>
      </c>
      <c r="B24" s="219"/>
      <c r="J24" s="67"/>
      <c r="K24" s="67"/>
      <c r="L24" s="67"/>
    </row>
    <row r="25" spans="1:17" x14ac:dyDescent="0.25">
      <c r="A25" s="176"/>
      <c r="B25" s="177"/>
      <c r="C25" s="52"/>
      <c r="D25" s="52"/>
      <c r="E25" s="52"/>
      <c r="F25" s="52"/>
      <c r="G25" s="52"/>
      <c r="H25" s="52"/>
      <c r="I25" s="52"/>
      <c r="J25" s="67"/>
      <c r="K25" s="67"/>
      <c r="L25" s="67"/>
    </row>
    <row r="26" spans="1:17" ht="42.75" customHeight="1" x14ac:dyDescent="0.25">
      <c r="A26" s="220" t="s">
        <v>161</v>
      </c>
      <c r="B26" s="220"/>
      <c r="C26" s="220"/>
      <c r="D26" s="220"/>
      <c r="E26" s="220"/>
      <c r="F26" s="220"/>
      <c r="G26" s="220"/>
      <c r="H26" s="52"/>
      <c r="I26" s="52"/>
      <c r="J26" s="67"/>
      <c r="K26" s="67"/>
      <c r="L26" s="67"/>
    </row>
    <row r="27" spans="1:17" x14ac:dyDescent="0.25">
      <c r="A27" s="176"/>
      <c r="B27" s="177"/>
      <c r="C27" s="52"/>
      <c r="D27" s="52"/>
      <c r="E27" s="52"/>
      <c r="F27" s="52"/>
      <c r="G27" s="52"/>
      <c r="H27" s="52"/>
      <c r="I27" s="52"/>
      <c r="J27" s="67"/>
      <c r="K27" s="67"/>
      <c r="L27" s="67"/>
    </row>
    <row r="28" spans="1:17" x14ac:dyDescent="0.25">
      <c r="A28" s="15" t="s">
        <v>16</v>
      </c>
      <c r="B28" s="32"/>
      <c r="C28" s="52"/>
      <c r="D28" s="52"/>
      <c r="E28" s="52"/>
      <c r="F28" s="52"/>
      <c r="G28" s="52"/>
      <c r="H28" s="52"/>
      <c r="I28" s="52"/>
      <c r="J28" s="67"/>
      <c r="K28" s="67"/>
      <c r="L28" s="67"/>
    </row>
    <row r="29" spans="1:17" ht="15.75" thickBot="1" x14ac:dyDescent="0.3">
      <c r="A29" s="15"/>
      <c r="B29" s="32"/>
      <c r="C29" s="52"/>
      <c r="D29" s="53"/>
      <c r="E29" s="53"/>
      <c r="F29" s="53"/>
      <c r="G29" s="53"/>
      <c r="H29" s="53"/>
      <c r="I29" s="53"/>
      <c r="J29" s="53"/>
      <c r="K29" s="53"/>
      <c r="L29" s="53"/>
    </row>
    <row r="30" spans="1:17" x14ac:dyDescent="0.25">
      <c r="A30" s="221" t="s">
        <v>76</v>
      </c>
      <c r="B30" s="222"/>
      <c r="C30" s="32"/>
      <c r="D30" s="41" t="s">
        <v>52</v>
      </c>
      <c r="E30" s="54">
        <f>B16</f>
        <v>0.35</v>
      </c>
      <c r="F30" s="39"/>
      <c r="G30" s="39"/>
      <c r="H30" s="39"/>
      <c r="I30" s="39"/>
    </row>
    <row r="31" spans="1:17" x14ac:dyDescent="0.25">
      <c r="A31" s="69"/>
      <c r="B31" s="70"/>
      <c r="C31" s="32"/>
      <c r="D31" s="41" t="s">
        <v>26</v>
      </c>
      <c r="E31" s="41" t="s">
        <v>6</v>
      </c>
      <c r="F31" s="41" t="s">
        <v>7</v>
      </c>
      <c r="G31" s="41" t="s">
        <v>8</v>
      </c>
      <c r="H31" s="41" t="s">
        <v>9</v>
      </c>
      <c r="I31" s="38"/>
    </row>
    <row r="32" spans="1:17" x14ac:dyDescent="0.25">
      <c r="A32" s="71" t="s">
        <v>14</v>
      </c>
      <c r="B32" s="72" t="s">
        <v>15</v>
      </c>
      <c r="C32" s="32"/>
      <c r="D32" s="40" t="s">
        <v>12</v>
      </c>
      <c r="E32" s="68">
        <f>SUM(F32:H32)</f>
        <v>27049.778999999995</v>
      </c>
      <c r="F32" s="68">
        <f>C18*B33</f>
        <v>20697.3</v>
      </c>
      <c r="G32" s="68">
        <f>D18*B33</f>
        <v>1671.7049999999999</v>
      </c>
      <c r="H32" s="68">
        <f>E18*B33</f>
        <v>4680.7739999999994</v>
      </c>
      <c r="I32" s="77"/>
    </row>
    <row r="33" spans="1:12" x14ac:dyDescent="0.25">
      <c r="A33" s="73" t="s">
        <v>12</v>
      </c>
      <c r="B33" s="74">
        <v>43.5</v>
      </c>
      <c r="C33" s="32"/>
      <c r="D33" s="40" t="s">
        <v>3</v>
      </c>
      <c r="E33" s="68">
        <f>SUM(F33:H33)</f>
        <v>27269.763299999995</v>
      </c>
      <c r="F33" s="68">
        <f>C19*B34</f>
        <v>17223.008399999999</v>
      </c>
      <c r="G33" s="68">
        <f>D19*B34</f>
        <v>4636.9637999999995</v>
      </c>
      <c r="H33" s="68">
        <f>E19*B34</f>
        <v>5409.7910999999995</v>
      </c>
      <c r="I33" s="77"/>
    </row>
    <row r="34" spans="1:12" x14ac:dyDescent="0.25">
      <c r="A34" s="73" t="s">
        <v>3</v>
      </c>
      <c r="B34" s="74">
        <v>60.33</v>
      </c>
      <c r="C34" s="32"/>
      <c r="D34" s="40" t="s">
        <v>4</v>
      </c>
      <c r="E34" s="68">
        <f>SUM(F34:H34)</f>
        <v>20501.489999999998</v>
      </c>
      <c r="F34" s="68">
        <f>C20*B35</f>
        <v>8088.6000000000013</v>
      </c>
      <c r="G34" s="68">
        <f>D20*B35</f>
        <v>3266.55</v>
      </c>
      <c r="H34" s="68">
        <f>E20*B35</f>
        <v>9146.3399999999983</v>
      </c>
      <c r="I34" s="77"/>
    </row>
    <row r="35" spans="1:12" x14ac:dyDescent="0.25">
      <c r="A35" s="73" t="s">
        <v>4</v>
      </c>
      <c r="B35" s="74">
        <v>85</v>
      </c>
      <c r="C35" s="32"/>
      <c r="D35" s="40" t="s">
        <v>5</v>
      </c>
      <c r="E35" s="68">
        <f>SUM(F35:H35)</f>
        <v>14076.909</v>
      </c>
      <c r="F35" s="68">
        <f>C21*B36</f>
        <v>8992.6200000000008</v>
      </c>
      <c r="G35" s="68">
        <f>D21*B36</f>
        <v>0</v>
      </c>
      <c r="H35" s="68">
        <f>E21*B36</f>
        <v>5084.2889999999989</v>
      </c>
      <c r="I35" s="77"/>
    </row>
    <row r="36" spans="1:12" ht="15.75" thickBot="1" x14ac:dyDescent="0.3">
      <c r="A36" s="75" t="s">
        <v>5</v>
      </c>
      <c r="B36" s="76">
        <v>94.5</v>
      </c>
      <c r="C36" s="32"/>
      <c r="D36" s="40" t="s">
        <v>6</v>
      </c>
      <c r="E36" s="68">
        <f>SUM(F36:H36)</f>
        <v>88897.941299999991</v>
      </c>
      <c r="F36" s="68">
        <f>SUM(F32:F35)</f>
        <v>55001.528399999996</v>
      </c>
      <c r="G36" s="68">
        <f>SUM(G32:G35)</f>
        <v>9575.2187999999987</v>
      </c>
      <c r="H36" s="68">
        <f>SUM(H32:H35)</f>
        <v>24321.194099999993</v>
      </c>
      <c r="I36" s="77"/>
    </row>
    <row r="37" spans="1:12" x14ac:dyDescent="0.25">
      <c r="A37" s="178"/>
      <c r="B37" s="178"/>
      <c r="C37" s="32"/>
      <c r="D37" s="32"/>
      <c r="E37" s="138"/>
      <c r="F37" s="138"/>
      <c r="G37" s="138"/>
      <c r="H37" s="138"/>
      <c r="I37" s="77"/>
    </row>
    <row r="38" spans="1:12" x14ac:dyDescent="0.25">
      <c r="A38" s="179" t="s">
        <v>162</v>
      </c>
      <c r="B38" s="178"/>
      <c r="C38" s="32"/>
      <c r="D38" s="32"/>
      <c r="E38" s="138"/>
      <c r="F38" s="138"/>
      <c r="G38" s="138"/>
      <c r="H38" s="138"/>
      <c r="I38" s="77"/>
    </row>
    <row r="39" spans="1:12" x14ac:dyDescent="0.25">
      <c r="A39" s="15"/>
      <c r="B39" s="32"/>
      <c r="C39" s="32"/>
      <c r="D39" s="32"/>
      <c r="E39" s="32"/>
      <c r="F39" s="39"/>
      <c r="G39" s="39"/>
      <c r="H39" s="39"/>
      <c r="I39" s="39"/>
      <c r="J39" s="39"/>
      <c r="K39" s="39"/>
      <c r="L39" s="39"/>
    </row>
    <row r="40" spans="1:12" x14ac:dyDescent="0.25">
      <c r="A40" s="14" t="s">
        <v>52</v>
      </c>
      <c r="B40" s="18">
        <f>B16</f>
        <v>0.35</v>
      </c>
    </row>
    <row r="41" spans="1:12" x14ac:dyDescent="0.25">
      <c r="A41" s="14" t="s">
        <v>20</v>
      </c>
      <c r="B41" s="14" t="s">
        <v>21</v>
      </c>
      <c r="C41" s="14" t="s">
        <v>18</v>
      </c>
      <c r="D41" s="14" t="s">
        <v>22</v>
      </c>
      <c r="E41" s="14" t="s">
        <v>6</v>
      </c>
      <c r="F41" s="217" t="s">
        <v>22</v>
      </c>
      <c r="G41" s="217"/>
    </row>
    <row r="42" spans="1:12" ht="15" customHeight="1" x14ac:dyDescent="0.25">
      <c r="A42" s="14" t="s">
        <v>16</v>
      </c>
      <c r="B42" s="78">
        <f>E36</f>
        <v>88897.941299999991</v>
      </c>
      <c r="C42" s="78">
        <f>(((100/$B$46)*B42)/100)*$C$46</f>
        <v>5033.2420065354663</v>
      </c>
      <c r="D42" s="78">
        <f>(((100/$B$46)*B42)/100)*$D$46</f>
        <v>6319.7125782883477</v>
      </c>
      <c r="E42" s="78">
        <f>SUM(B42:D42)</f>
        <v>100250.89588482381</v>
      </c>
      <c r="F42" s="211" t="s">
        <v>78</v>
      </c>
      <c r="G42" s="212"/>
    </row>
    <row r="43" spans="1:12" x14ac:dyDescent="0.25">
      <c r="A43" s="14" t="s">
        <v>17</v>
      </c>
      <c r="B43" s="2">
        <v>20048</v>
      </c>
      <c r="C43" s="78">
        <f>(((100/$B$46)*B43)/100)*$C$46</f>
        <v>1135.0818058485575</v>
      </c>
      <c r="D43" s="78">
        <f t="shared" ref="D43:D45" si="1">(((100/$B$46)*B43)/100)*$D$46</f>
        <v>1425.2028327851144</v>
      </c>
      <c r="E43" s="78">
        <f t="shared" ref="E43:E45" si="2">SUM(B43:D43)</f>
        <v>22608.284638633671</v>
      </c>
      <c r="F43" s="213"/>
      <c r="G43" s="214"/>
    </row>
    <row r="44" spans="1:12" x14ac:dyDescent="0.25">
      <c r="A44" s="14" t="s">
        <v>19</v>
      </c>
      <c r="B44" s="2">
        <v>55200</v>
      </c>
      <c r="C44" s="78">
        <f t="shared" ref="C44:C45" si="3">(((100/$B$46)*B44)/100)*$C$46</f>
        <v>3125.3250041321012</v>
      </c>
      <c r="D44" s="78">
        <f t="shared" si="1"/>
        <v>3924.1418779797646</v>
      </c>
      <c r="E44" s="78">
        <f t="shared" si="2"/>
        <v>62249.466882111868</v>
      </c>
      <c r="F44" s="213"/>
      <c r="G44" s="214"/>
    </row>
    <row r="45" spans="1:12" ht="29.25" customHeight="1" x14ac:dyDescent="0.25">
      <c r="A45" s="23" t="s">
        <v>46</v>
      </c>
      <c r="B45" s="2">
        <v>801</v>
      </c>
      <c r="C45" s="78">
        <f t="shared" si="3"/>
        <v>45.351183483873427</v>
      </c>
      <c r="D45" s="78">
        <f t="shared" si="1"/>
        <v>56.942710946771584</v>
      </c>
      <c r="E45" s="78">
        <f t="shared" si="2"/>
        <v>903.29389443064508</v>
      </c>
      <c r="F45" s="213"/>
      <c r="G45" s="214"/>
    </row>
    <row r="46" spans="1:12" x14ac:dyDescent="0.25">
      <c r="A46" s="14" t="s">
        <v>6</v>
      </c>
      <c r="B46" s="2">
        <f>SUM(B42:B45)</f>
        <v>164946.94130000001</v>
      </c>
      <c r="C46" s="78">
        <v>9339</v>
      </c>
      <c r="D46" s="78">
        <v>11726</v>
      </c>
      <c r="E46" s="78">
        <f>SUM(B46:D46)</f>
        <v>186011.94130000001</v>
      </c>
      <c r="F46" s="215"/>
      <c r="G46" s="216"/>
    </row>
    <row r="48" spans="1:12" x14ac:dyDescent="0.25">
      <c r="A48" s="206" t="s">
        <v>24</v>
      </c>
      <c r="B48" s="206"/>
      <c r="C48" s="18">
        <v>0.7</v>
      </c>
      <c r="D48" t="s">
        <v>29</v>
      </c>
    </row>
    <row r="49" spans="1:30" x14ac:dyDescent="0.25">
      <c r="A49" s="27"/>
      <c r="B49" s="27"/>
      <c r="C49" s="28"/>
    </row>
    <row r="50" spans="1:30" x14ac:dyDescent="0.25">
      <c r="A50" s="27" t="s">
        <v>47</v>
      </c>
      <c r="B50" s="27"/>
      <c r="C50" s="28"/>
    </row>
    <row r="51" spans="1:30" x14ac:dyDescent="0.25">
      <c r="A51" s="27"/>
      <c r="B51" s="27"/>
      <c r="C51" s="28"/>
    </row>
    <row r="52" spans="1:30" x14ac:dyDescent="0.25">
      <c r="A52" s="21" t="s">
        <v>20</v>
      </c>
      <c r="B52" s="21" t="s">
        <v>50</v>
      </c>
      <c r="C52" s="28"/>
    </row>
    <row r="53" spans="1:30" x14ac:dyDescent="0.25">
      <c r="A53" s="21" t="s">
        <v>16</v>
      </c>
      <c r="B53" s="29">
        <v>51</v>
      </c>
      <c r="C53" s="28"/>
    </row>
    <row r="54" spans="1:30" x14ac:dyDescent="0.25">
      <c r="A54" s="21" t="s">
        <v>17</v>
      </c>
      <c r="B54" s="29">
        <v>0</v>
      </c>
      <c r="C54" s="28"/>
    </row>
    <row r="55" spans="1:30" x14ac:dyDescent="0.25">
      <c r="A55" s="21" t="s">
        <v>48</v>
      </c>
      <c r="B55" s="29">
        <v>0</v>
      </c>
      <c r="C55" s="28"/>
    </row>
    <row r="56" spans="1:30" x14ac:dyDescent="0.25">
      <c r="A56" s="21" t="s">
        <v>49</v>
      </c>
      <c r="B56" s="29">
        <v>0</v>
      </c>
      <c r="C56" s="28"/>
    </row>
    <row r="57" spans="1:30" x14ac:dyDescent="0.25">
      <c r="A57" s="21" t="s">
        <v>6</v>
      </c>
      <c r="B57" s="29">
        <v>51</v>
      </c>
      <c r="C57" s="28"/>
    </row>
    <row r="58" spans="1:30" x14ac:dyDescent="0.25">
      <c r="A58" s="156"/>
      <c r="B58" s="187"/>
      <c r="C58" s="28"/>
    </row>
    <row r="59" spans="1:30" x14ac:dyDescent="0.25">
      <c r="A59" s="45" t="s">
        <v>168</v>
      </c>
      <c r="L59" s="79"/>
    </row>
    <row r="60" spans="1:30" x14ac:dyDescent="0.25">
      <c r="A60" s="209" t="s">
        <v>77</v>
      </c>
      <c r="B60" s="209"/>
      <c r="C60" s="209"/>
      <c r="D60" s="209"/>
      <c r="L60" s="79"/>
    </row>
    <row r="62" spans="1:30" x14ac:dyDescent="0.25">
      <c r="A62" s="58" t="s">
        <v>52</v>
      </c>
      <c r="B62" s="157">
        <f>B16</f>
        <v>0.35</v>
      </c>
      <c r="C62" s="1"/>
      <c r="D62" s="1"/>
      <c r="E62" s="1"/>
      <c r="F62" s="1"/>
      <c r="G62" s="1"/>
      <c r="H62" s="1"/>
      <c r="I62" s="1"/>
      <c r="J62" s="57" t="s">
        <v>92</v>
      </c>
      <c r="K62" s="57"/>
      <c r="L62" s="57"/>
      <c r="M62" s="57"/>
      <c r="N62" s="57"/>
      <c r="O62" s="30"/>
      <c r="P62" s="1"/>
      <c r="Q62" s="1"/>
    </row>
    <row r="63" spans="1:30" x14ac:dyDescent="0.25">
      <c r="A63" s="14" t="s">
        <v>30</v>
      </c>
      <c r="B63" s="14" t="s">
        <v>31</v>
      </c>
      <c r="C63" s="14" t="s">
        <v>32</v>
      </c>
      <c r="D63" s="14" t="s">
        <v>33</v>
      </c>
      <c r="E63" s="59" t="s">
        <v>60</v>
      </c>
      <c r="F63" s="59" t="s">
        <v>68</v>
      </c>
      <c r="G63" s="59" t="s">
        <v>7</v>
      </c>
      <c r="H63" s="59" t="s">
        <v>8</v>
      </c>
      <c r="I63" s="59" t="s">
        <v>9</v>
      </c>
      <c r="J63" s="26" t="s">
        <v>16</v>
      </c>
      <c r="K63" s="26" t="s">
        <v>146</v>
      </c>
      <c r="L63" s="60" t="s">
        <v>147</v>
      </c>
      <c r="M63" s="60" t="s">
        <v>148</v>
      </c>
      <c r="N63" s="60" t="s">
        <v>149</v>
      </c>
      <c r="O63" s="26" t="s">
        <v>102</v>
      </c>
      <c r="P63" s="59" t="s">
        <v>103</v>
      </c>
      <c r="Q63" s="59" t="s">
        <v>104</v>
      </c>
      <c r="R63" s="59" t="s">
        <v>105</v>
      </c>
      <c r="S63" s="26" t="s">
        <v>22</v>
      </c>
      <c r="T63" s="26" t="s">
        <v>150</v>
      </c>
      <c r="U63" s="26" t="s">
        <v>151</v>
      </c>
      <c r="V63" s="26" t="s">
        <v>108</v>
      </c>
      <c r="W63" s="26" t="s">
        <v>109</v>
      </c>
      <c r="X63" s="26" t="s">
        <v>6</v>
      </c>
      <c r="Y63" s="223" t="s">
        <v>45</v>
      </c>
      <c r="Z63" s="223"/>
      <c r="AA63" s="223"/>
      <c r="AB63" s="223"/>
      <c r="AC63" s="223"/>
      <c r="AD63" s="223"/>
    </row>
    <row r="64" spans="1:30" ht="15" customHeight="1" x14ac:dyDescent="0.25">
      <c r="A64" s="14" t="s">
        <v>34</v>
      </c>
      <c r="B64" s="24">
        <v>41760</v>
      </c>
      <c r="C64" s="24">
        <v>42370</v>
      </c>
      <c r="D64" s="4" t="s">
        <v>35</v>
      </c>
      <c r="E64" s="4">
        <v>0</v>
      </c>
      <c r="F64" s="4">
        <v>0</v>
      </c>
      <c r="G64" s="4">
        <v>0</v>
      </c>
      <c r="H64" s="4">
        <v>0</v>
      </c>
      <c r="I64" s="4">
        <v>0</v>
      </c>
      <c r="J64" s="141" t="s">
        <v>44</v>
      </c>
      <c r="K64" s="141"/>
      <c r="L64" s="118">
        <f>K64*10.764</f>
        <v>0</v>
      </c>
      <c r="M64" s="108"/>
      <c r="N64" s="118">
        <f>M64*10.764</f>
        <v>0</v>
      </c>
      <c r="O64" s="189"/>
      <c r="P64" s="118"/>
      <c r="Q64" s="108"/>
      <c r="R64" s="118"/>
      <c r="S64" s="189"/>
      <c r="T64" s="190">
        <v>0</v>
      </c>
      <c r="U64" s="190"/>
      <c r="V64" s="190">
        <v>0</v>
      </c>
      <c r="W64" s="190"/>
      <c r="X64" s="143">
        <v>0</v>
      </c>
      <c r="Y64" s="228" t="s">
        <v>53</v>
      </c>
      <c r="Z64" s="228"/>
      <c r="AA64" s="228"/>
      <c r="AB64" s="228"/>
      <c r="AC64" s="228"/>
      <c r="AD64" s="228"/>
    </row>
    <row r="65" spans="1:30" ht="15" customHeight="1" x14ac:dyDescent="0.25">
      <c r="A65" s="14" t="s">
        <v>36</v>
      </c>
      <c r="B65" s="24">
        <v>42401</v>
      </c>
      <c r="C65" s="24">
        <v>43647</v>
      </c>
      <c r="D65" s="4" t="s">
        <v>37</v>
      </c>
      <c r="E65" s="90">
        <f>$C$6*(F65/100)</f>
        <v>466.63914792679242</v>
      </c>
      <c r="F65" s="90">
        <f>(100/172004)*54825</f>
        <v>31.87425873816888</v>
      </c>
      <c r="G65" s="90">
        <f>$E65*(100%-$B$16)</f>
        <v>303.31544615241506</v>
      </c>
      <c r="H65" s="90">
        <f>($E65*$B$16)*30%</f>
        <v>48.997110532313194</v>
      </c>
      <c r="I65" s="90">
        <f>($E65*$B$16)*70%</f>
        <v>114.32659124206413</v>
      </c>
      <c r="J65" s="108">
        <f>($E$36*(F65/100))</f>
        <v>28335.55982286749</v>
      </c>
      <c r="K65" s="108">
        <f>$F$36*(F65/100)</f>
        <v>17531.329472163437</v>
      </c>
      <c r="L65" s="118">
        <f>K65*10.764</f>
        <v>188707.23043836723</v>
      </c>
      <c r="M65" s="108">
        <f>($G$36+$H$36)*(F65/100)</f>
        <v>10804.230350704052</v>
      </c>
      <c r="N65" s="118">
        <f t="shared" ref="N65:N69" si="4">M65*10.764</f>
        <v>116296.73549497841</v>
      </c>
      <c r="O65" s="186">
        <f>1189+4509+507</f>
        <v>6205</v>
      </c>
      <c r="P65" s="118">
        <f>O65*10.764</f>
        <v>66790.62</v>
      </c>
      <c r="Q65" s="108">
        <v>0</v>
      </c>
      <c r="R65" s="118">
        <f>Q65*10.764</f>
        <v>0</v>
      </c>
      <c r="S65" s="186">
        <v>1115</v>
      </c>
      <c r="T65" s="186">
        <v>0</v>
      </c>
      <c r="U65" s="186">
        <f t="shared" ref="U65:U67" si="5">T65*10.764</f>
        <v>0</v>
      </c>
      <c r="V65" s="186">
        <f>(((100/(SUM($J$69:$T$69))*(SUM(J65:T65)))/100)*9339)</f>
        <v>2491.1865998091457</v>
      </c>
      <c r="W65" s="186">
        <f>V65*10.764</f>
        <v>26815.132560345643</v>
      </c>
      <c r="X65" s="143">
        <f>SUM(J65:V65)</f>
        <v>438276.89217888977</v>
      </c>
      <c r="Y65" s="228"/>
      <c r="Z65" s="228"/>
      <c r="AA65" s="228"/>
      <c r="AB65" s="228"/>
      <c r="AC65" s="228"/>
      <c r="AD65" s="228"/>
    </row>
    <row r="66" spans="1:30" x14ac:dyDescent="0.25">
      <c r="A66" s="14" t="s">
        <v>38</v>
      </c>
      <c r="B66" s="24">
        <v>43586</v>
      </c>
      <c r="C66" s="24">
        <v>45505</v>
      </c>
      <c r="D66" s="4" t="s">
        <v>39</v>
      </c>
      <c r="E66" s="90">
        <f t="shared" ref="E66:E68" si="6">$C$6*(F66/100)</f>
        <v>590.2761796237296</v>
      </c>
      <c r="F66" s="90">
        <f>(100/172004)*69351</f>
        <v>40.319411176484266</v>
      </c>
      <c r="G66" s="90">
        <f t="shared" ref="G66:G68" si="7">$E66*(100%-$B$16)</f>
        <v>383.67951675542423</v>
      </c>
      <c r="H66" s="90">
        <f t="shared" ref="H66:H68" si="8">($E66*$B$16)*30%</f>
        <v>61.9789988604916</v>
      </c>
      <c r="I66" s="90">
        <f t="shared" ref="I66:I68" si="9">($E66*$B$16)*70%</f>
        <v>144.61766400781374</v>
      </c>
      <c r="J66" s="108">
        <f>($E$36*(F66/100))</f>
        <v>35843.126480176616</v>
      </c>
      <c r="K66" s="108">
        <f t="shared" ref="K66:K68" si="10">$F$36*(F66/100)</f>
        <v>22176.292388946767</v>
      </c>
      <c r="L66" s="118">
        <f t="shared" ref="L66:L68" si="11">K66*10.764</f>
        <v>238705.61127462299</v>
      </c>
      <c r="M66" s="108">
        <f t="shared" ref="M66:M68" si="12">($G$36+$H$36)*(F66/100)</f>
        <v>13666.834091229852</v>
      </c>
      <c r="N66" s="118">
        <f t="shared" si="4"/>
        <v>147109.80215799811</v>
      </c>
      <c r="O66" s="186">
        <f>1813+1192+272+538</f>
        <v>3815</v>
      </c>
      <c r="P66" s="118">
        <f t="shared" ref="P66:P68" si="13">O66*10.764</f>
        <v>41064.659999999996</v>
      </c>
      <c r="Q66" s="108">
        <v>0</v>
      </c>
      <c r="R66" s="118">
        <f t="shared" ref="R66:R68" si="14">Q66*10.764</f>
        <v>0</v>
      </c>
      <c r="S66" s="186">
        <f>84+610</f>
        <v>694</v>
      </c>
      <c r="T66" s="186">
        <v>0</v>
      </c>
      <c r="U66" s="186">
        <f t="shared" si="5"/>
        <v>0</v>
      </c>
      <c r="V66" s="186">
        <f>(((100/(SUM($J$69:$T$69))*(SUM(J66:T66)))/100)*9339)</f>
        <v>2875.8504369468487</v>
      </c>
      <c r="W66" s="186">
        <f t="shared" ref="W66:W69" si="15">V66*10.764</f>
        <v>30955.654103295878</v>
      </c>
      <c r="X66" s="143">
        <f>SUM(J66:V66)</f>
        <v>505951.17682992114</v>
      </c>
      <c r="Y66" s="228"/>
      <c r="Z66" s="228"/>
      <c r="AA66" s="228"/>
      <c r="AB66" s="228"/>
      <c r="AC66" s="228"/>
      <c r="AD66" s="228"/>
    </row>
    <row r="67" spans="1:30" x14ac:dyDescent="0.25">
      <c r="A67" s="14" t="s">
        <v>40</v>
      </c>
      <c r="B67" s="24">
        <v>44197</v>
      </c>
      <c r="C67" s="24">
        <v>45292</v>
      </c>
      <c r="D67" s="4" t="s">
        <v>41</v>
      </c>
      <c r="E67" s="90">
        <f t="shared" si="6"/>
        <v>0</v>
      </c>
      <c r="F67" s="90">
        <f>(100/172004)*0</f>
        <v>0</v>
      </c>
      <c r="G67" s="90">
        <f t="shared" si="7"/>
        <v>0</v>
      </c>
      <c r="H67" s="90">
        <f t="shared" si="8"/>
        <v>0</v>
      </c>
      <c r="I67" s="90">
        <f t="shared" si="9"/>
        <v>0</v>
      </c>
      <c r="J67" s="108">
        <f t="shared" ref="J67" si="16">($E$36*(F67/100)*1.3)</f>
        <v>0</v>
      </c>
      <c r="K67" s="108">
        <f t="shared" si="10"/>
        <v>0</v>
      </c>
      <c r="L67" s="118">
        <f t="shared" si="11"/>
        <v>0</v>
      </c>
      <c r="M67" s="108">
        <f t="shared" si="12"/>
        <v>0</v>
      </c>
      <c r="N67" s="118">
        <f t="shared" si="4"/>
        <v>0</v>
      </c>
      <c r="O67" s="186">
        <f>3180+493</f>
        <v>3673</v>
      </c>
      <c r="P67" s="118">
        <f t="shared" si="13"/>
        <v>39536.171999999999</v>
      </c>
      <c r="Q67" s="108">
        <f>26588+28019</f>
        <v>54607</v>
      </c>
      <c r="R67" s="118">
        <f t="shared" si="14"/>
        <v>587789.74800000002</v>
      </c>
      <c r="S67" s="186">
        <f>2846+1169</f>
        <v>4015</v>
      </c>
      <c r="T67" s="186">
        <v>0</v>
      </c>
      <c r="U67" s="186">
        <f t="shared" si="5"/>
        <v>0</v>
      </c>
      <c r="V67" s="186">
        <f>(((100/(SUM($J$69:$T$69))*(SUM(J67:T67)))/100)*9339)</f>
        <v>3942.2458627209367</v>
      </c>
      <c r="W67" s="186">
        <f t="shared" si="15"/>
        <v>42434.33446632816</v>
      </c>
      <c r="X67" s="143">
        <f>SUM(J67:V67)</f>
        <v>693563.16586272093</v>
      </c>
      <c r="Y67" s="228"/>
      <c r="Z67" s="228"/>
      <c r="AA67" s="228"/>
      <c r="AB67" s="228"/>
      <c r="AC67" s="228"/>
      <c r="AD67" s="228"/>
    </row>
    <row r="68" spans="1:30" x14ac:dyDescent="0.25">
      <c r="A68" s="14" t="s">
        <v>42</v>
      </c>
      <c r="B68" s="24">
        <v>45536</v>
      </c>
      <c r="C68" s="24">
        <v>46753</v>
      </c>
      <c r="D68" s="4" t="s">
        <v>43</v>
      </c>
      <c r="E68" s="90">
        <f t="shared" si="6"/>
        <v>407.08467244947792</v>
      </c>
      <c r="F68" s="90">
        <f>(100/172004)*47828</f>
        <v>27.80633008534685</v>
      </c>
      <c r="G68" s="90">
        <f t="shared" si="7"/>
        <v>264.60503709216067</v>
      </c>
      <c r="H68" s="90">
        <f t="shared" si="8"/>
        <v>42.743890607195176</v>
      </c>
      <c r="I68" s="90">
        <f t="shared" si="9"/>
        <v>99.735744750122066</v>
      </c>
      <c r="J68" s="108">
        <f>($E$36*(F68/100))</f>
        <v>24719.254996955882</v>
      </c>
      <c r="K68" s="108">
        <f t="shared" si="10"/>
        <v>15293.906538889793</v>
      </c>
      <c r="L68" s="118">
        <f t="shared" si="11"/>
        <v>164623.60998460971</v>
      </c>
      <c r="M68" s="108">
        <f t="shared" si="12"/>
        <v>9425.3484580660897</v>
      </c>
      <c r="N68" s="118">
        <f t="shared" si="4"/>
        <v>101454.45080262338</v>
      </c>
      <c r="O68" s="186">
        <f>1199+1211+65+2422+1458</f>
        <v>6355</v>
      </c>
      <c r="P68" s="118">
        <f t="shared" si="13"/>
        <v>68405.22</v>
      </c>
      <c r="Q68" s="108">
        <v>593</v>
      </c>
      <c r="R68" s="118">
        <f t="shared" si="14"/>
        <v>6383.0519999999997</v>
      </c>
      <c r="S68" s="186">
        <f>3986+1916</f>
        <v>5902</v>
      </c>
      <c r="T68" s="186">
        <f>112+392+297</f>
        <v>801</v>
      </c>
      <c r="U68" s="186">
        <f>T68*10.764</f>
        <v>8621.9639999999999</v>
      </c>
      <c r="V68" s="186">
        <f>(((100/(SUM($J$69:$T$69))*(SUM(J68:T68)))/100)*9339)</f>
        <v>2309.2299026049232</v>
      </c>
      <c r="W68" s="186">
        <f t="shared" si="15"/>
        <v>24856.55067163939</v>
      </c>
      <c r="X68" s="143">
        <f>SUM(J68:V68)</f>
        <v>414887.03668374981</v>
      </c>
      <c r="Y68" s="228"/>
      <c r="Z68" s="228"/>
      <c r="AA68" s="228"/>
      <c r="AB68" s="228"/>
      <c r="AC68" s="228"/>
      <c r="AD68" s="228"/>
    </row>
    <row r="69" spans="1:30" x14ac:dyDescent="0.25">
      <c r="J69" s="143">
        <f>SUM(J64:J68)</f>
        <v>88897.941299999977</v>
      </c>
      <c r="K69" s="143">
        <f t="shared" ref="K69:L69" si="17">SUM(K64:K68)</f>
        <v>55001.528400000003</v>
      </c>
      <c r="L69" s="118">
        <f t="shared" si="17"/>
        <v>592036.45169759984</v>
      </c>
      <c r="M69" s="108"/>
      <c r="N69" s="118">
        <f t="shared" si="4"/>
        <v>0</v>
      </c>
      <c r="O69" s="186">
        <f t="shared" ref="O69:X69" si="18">SUM(O64:O68)</f>
        <v>20048</v>
      </c>
      <c r="P69" s="118">
        <f t="shared" si="18"/>
        <v>215796.67199999999</v>
      </c>
      <c r="Q69" s="108">
        <f t="shared" si="18"/>
        <v>55200</v>
      </c>
      <c r="R69" s="118">
        <f t="shared" si="18"/>
        <v>594172.80000000005</v>
      </c>
      <c r="S69" s="186">
        <f t="shared" si="18"/>
        <v>11726</v>
      </c>
      <c r="T69" s="186">
        <f t="shared" si="18"/>
        <v>801</v>
      </c>
      <c r="U69" s="186">
        <f>SUM(U64:U68)</f>
        <v>8621.9639999999999</v>
      </c>
      <c r="V69" s="186">
        <f t="shared" si="18"/>
        <v>11618.512802081856</v>
      </c>
      <c r="W69" s="186">
        <f t="shared" si="15"/>
        <v>125061.67180160909</v>
      </c>
      <c r="X69" s="143">
        <f t="shared" si="18"/>
        <v>2052678.2715552817</v>
      </c>
      <c r="Y69" s="228"/>
      <c r="Z69" s="228"/>
      <c r="AA69" s="228"/>
      <c r="AB69" s="228"/>
      <c r="AC69" s="228"/>
      <c r="AD69" s="228"/>
    </row>
    <row r="70" spans="1:30" x14ac:dyDescent="0.25">
      <c r="J70" s="10"/>
      <c r="K70" s="10"/>
      <c r="L70" s="10"/>
      <c r="M70" s="10"/>
      <c r="N70" s="10"/>
      <c r="O70" s="13"/>
      <c r="P70" s="10"/>
      <c r="Q70" s="34"/>
      <c r="R70" s="34"/>
      <c r="S70" s="34"/>
      <c r="T70" s="34"/>
      <c r="U70" s="34"/>
    </row>
    <row r="71" spans="1:30" x14ac:dyDescent="0.25">
      <c r="A71" s="180" t="s">
        <v>164</v>
      </c>
      <c r="B71" s="121"/>
      <c r="C71" s="121"/>
      <c r="D71" s="121"/>
      <c r="E71" s="121"/>
    </row>
    <row r="72" spans="1:30" x14ac:dyDescent="0.25">
      <c r="A72" s="121"/>
      <c r="B72" s="121"/>
      <c r="C72" s="121"/>
      <c r="D72" s="121"/>
      <c r="E72" s="121"/>
    </row>
    <row r="73" spans="1:30" x14ac:dyDescent="0.25">
      <c r="A73" s="1" t="s">
        <v>129</v>
      </c>
      <c r="B73" s="159"/>
      <c r="C73" s="160"/>
      <c r="D73" s="160"/>
      <c r="E73" s="121"/>
    </row>
    <row r="74" spans="1:30" x14ac:dyDescent="0.25">
      <c r="A74" s="121"/>
      <c r="B74" s="121"/>
      <c r="C74" s="121"/>
      <c r="D74" s="121"/>
      <c r="E74" s="121"/>
    </row>
    <row r="75" spans="1:30" x14ac:dyDescent="0.25">
      <c r="A75" s="92" t="s">
        <v>165</v>
      </c>
      <c r="B75" s="120"/>
      <c r="C75" s="121"/>
      <c r="D75" s="121"/>
      <c r="E75" s="121"/>
    </row>
    <row r="76" spans="1:30" x14ac:dyDescent="0.25">
      <c r="A76" s="128"/>
      <c r="B76" s="120"/>
      <c r="C76" s="121"/>
      <c r="D76" s="121"/>
      <c r="E76" s="121"/>
    </row>
    <row r="77" spans="1:30" x14ac:dyDescent="0.25">
      <c r="A77" s="15" t="s">
        <v>145</v>
      </c>
      <c r="B77" s="129"/>
      <c r="C77" s="121"/>
      <c r="D77" s="121"/>
      <c r="E77" s="121"/>
    </row>
    <row r="78" spans="1:30" x14ac:dyDescent="0.25">
      <c r="A78" s="128"/>
      <c r="B78" s="130"/>
      <c r="C78" s="45"/>
      <c r="D78" s="45"/>
      <c r="E78" s="45"/>
    </row>
    <row r="79" spans="1:30" x14ac:dyDescent="0.25">
      <c r="A79" s="93" t="s">
        <v>139</v>
      </c>
      <c r="B79" s="166">
        <f>(SUM(K65:K68))/0.7</f>
        <v>78573.612000000008</v>
      </c>
      <c r="C79" s="133"/>
      <c r="D79" s="121"/>
      <c r="E79" s="133"/>
    </row>
    <row r="80" spans="1:30" x14ac:dyDescent="0.25">
      <c r="A80" s="93" t="s">
        <v>135</v>
      </c>
      <c r="B80" s="166">
        <f>SUM(Q65:Q68)</f>
        <v>55200</v>
      </c>
      <c r="C80" s="133"/>
      <c r="D80" s="133"/>
      <c r="E80" s="133"/>
    </row>
    <row r="81" spans="1:8" x14ac:dyDescent="0.25">
      <c r="A81" s="93" t="s">
        <v>137</v>
      </c>
      <c r="B81" s="166">
        <f>SUM(O65:O68)</f>
        <v>20048</v>
      </c>
      <c r="C81" s="133"/>
      <c r="D81" s="133"/>
      <c r="E81" s="133"/>
    </row>
    <row r="82" spans="1:8" x14ac:dyDescent="0.25">
      <c r="A82" s="93" t="s">
        <v>46</v>
      </c>
      <c r="B82" s="166">
        <f>SUM(U65:U68)</f>
        <v>8621.9639999999999</v>
      </c>
      <c r="C82" s="133"/>
      <c r="D82" s="133"/>
      <c r="E82" s="133"/>
    </row>
    <row r="83" spans="1:8" x14ac:dyDescent="0.25">
      <c r="A83" s="93" t="s">
        <v>138</v>
      </c>
      <c r="B83" s="166">
        <f>SUM(W65:W68)</f>
        <v>125061.67180160907</v>
      </c>
      <c r="C83" s="133"/>
      <c r="D83" s="133"/>
      <c r="E83" s="133"/>
    </row>
    <row r="84" spans="1:8" x14ac:dyDescent="0.25">
      <c r="A84" s="93" t="s">
        <v>6</v>
      </c>
      <c r="B84" s="166">
        <f>SUM(B79:B83)</f>
        <v>287505.2478016091</v>
      </c>
      <c r="C84" s="135"/>
      <c r="D84" s="135"/>
      <c r="E84" s="135"/>
    </row>
    <row r="85" spans="1:8" x14ac:dyDescent="0.25">
      <c r="A85" s="128"/>
      <c r="B85" s="129"/>
      <c r="C85" s="136"/>
      <c r="D85" s="136"/>
      <c r="E85" s="136"/>
    </row>
    <row r="86" spans="1:8" x14ac:dyDescent="0.25">
      <c r="A86" s="164" t="s">
        <v>55</v>
      </c>
      <c r="B86" s="121"/>
      <c r="C86" s="121"/>
      <c r="D86" s="121"/>
      <c r="E86" s="121"/>
    </row>
    <row r="87" spans="1:8" x14ac:dyDescent="0.25">
      <c r="A87" s="165"/>
      <c r="B87" s="165"/>
      <c r="C87" s="165"/>
      <c r="D87" s="38"/>
      <c r="E87" s="41" t="s">
        <v>144</v>
      </c>
      <c r="F87" s="224" t="s">
        <v>159</v>
      </c>
      <c r="G87" s="224"/>
      <c r="H87" s="224"/>
    </row>
    <row r="88" spans="1:8" x14ac:dyDescent="0.25">
      <c r="A88" s="167" t="s">
        <v>118</v>
      </c>
      <c r="B88" s="168">
        <v>1220</v>
      </c>
      <c r="C88" s="167" t="s">
        <v>112</v>
      </c>
      <c r="D88" s="169">
        <f>B88*C6</f>
        <v>1786080</v>
      </c>
      <c r="E88" s="169"/>
      <c r="F88" s="224"/>
      <c r="G88" s="224"/>
      <c r="H88" s="224"/>
    </row>
    <row r="89" spans="1:8" x14ac:dyDescent="0.25">
      <c r="A89" s="167" t="s">
        <v>154</v>
      </c>
      <c r="B89" s="168">
        <f>5</f>
        <v>5</v>
      </c>
      <c r="C89" s="167" t="s">
        <v>113</v>
      </c>
      <c r="D89" s="169">
        <f>(B89*10.764)*(SUM(B80:B82))</f>
        <v>4513881.4624800002</v>
      </c>
      <c r="E89" s="169"/>
      <c r="F89" s="224"/>
      <c r="G89" s="224"/>
      <c r="H89" s="224"/>
    </row>
    <row r="90" spans="1:8" x14ac:dyDescent="0.25">
      <c r="A90" s="170" t="s">
        <v>114</v>
      </c>
      <c r="B90" s="168"/>
      <c r="C90" s="167"/>
      <c r="D90" s="169">
        <f>SUM(D88:D89)</f>
        <v>6299961.4624800002</v>
      </c>
      <c r="E90" s="171">
        <f>D90/4</f>
        <v>1574990.3656200001</v>
      </c>
      <c r="F90" s="224"/>
      <c r="G90" s="224"/>
      <c r="H90" s="224"/>
    </row>
    <row r="91" spans="1:8" x14ac:dyDescent="0.25">
      <c r="A91" s="161"/>
      <c r="B91" s="126"/>
      <c r="C91" s="162"/>
      <c r="D91" s="127"/>
      <c r="E91" s="140"/>
    </row>
    <row r="92" spans="1:8" x14ac:dyDescent="0.25">
      <c r="A92" s="163" t="s">
        <v>86</v>
      </c>
      <c r="B92" s="126"/>
      <c r="C92" s="162"/>
      <c r="D92" s="127"/>
      <c r="E92" s="128"/>
    </row>
    <row r="93" spans="1:8" x14ac:dyDescent="0.25">
      <c r="A93" s="181"/>
      <c r="B93" s="126"/>
      <c r="C93" s="162"/>
      <c r="D93" s="127"/>
      <c r="E93" s="128"/>
    </row>
    <row r="94" spans="1:8" x14ac:dyDescent="0.25">
      <c r="A94" s="172" t="s">
        <v>119</v>
      </c>
      <c r="B94" s="173">
        <v>35</v>
      </c>
      <c r="C94" s="172" t="s">
        <v>115</v>
      </c>
      <c r="D94" s="169">
        <f>B94*(B79)</f>
        <v>2750076.4200000004</v>
      </c>
      <c r="E94" s="127"/>
    </row>
    <row r="95" spans="1:8" x14ac:dyDescent="0.25">
      <c r="A95" s="172" t="s">
        <v>46</v>
      </c>
      <c r="B95" s="173">
        <v>35</v>
      </c>
      <c r="C95" s="172" t="s">
        <v>115</v>
      </c>
      <c r="D95" s="169">
        <f>B95*(B82)</f>
        <v>301768.74</v>
      </c>
      <c r="E95" s="127"/>
    </row>
    <row r="96" spans="1:8" x14ac:dyDescent="0.25">
      <c r="A96" s="172" t="s">
        <v>140</v>
      </c>
      <c r="B96" s="173">
        <v>35</v>
      </c>
      <c r="C96" s="172" t="s">
        <v>115</v>
      </c>
      <c r="D96" s="169">
        <f>B96*(B83)</f>
        <v>4377158.5130563173</v>
      </c>
      <c r="E96" s="127"/>
    </row>
    <row r="97" spans="1:5" x14ac:dyDescent="0.25">
      <c r="A97" s="172" t="s">
        <v>120</v>
      </c>
      <c r="B97" s="173">
        <v>140</v>
      </c>
      <c r="C97" s="172" t="s">
        <v>115</v>
      </c>
      <c r="D97" s="169">
        <f>$B$97*(B80)</f>
        <v>7728000</v>
      </c>
      <c r="E97" s="127"/>
    </row>
    <row r="98" spans="1:5" x14ac:dyDescent="0.25">
      <c r="A98" s="172" t="s">
        <v>121</v>
      </c>
      <c r="B98" s="173">
        <v>90</v>
      </c>
      <c r="C98" s="172" t="s">
        <v>115</v>
      </c>
      <c r="D98" s="169">
        <f>$B$98*(B81)</f>
        <v>1804320</v>
      </c>
      <c r="E98" s="127"/>
    </row>
    <row r="99" spans="1:5" x14ac:dyDescent="0.25">
      <c r="A99" s="225" t="s">
        <v>122</v>
      </c>
      <c r="B99" s="226"/>
      <c r="C99" s="227"/>
      <c r="D99" s="169">
        <f>SUM(D94:D98)</f>
        <v>16961323.673056319</v>
      </c>
      <c r="E99" s="127"/>
    </row>
    <row r="100" spans="1:5" x14ac:dyDescent="0.25">
      <c r="A100" s="225" t="s">
        <v>116</v>
      </c>
      <c r="B100" s="226"/>
      <c r="C100" s="227"/>
      <c r="D100" s="169">
        <f>-D94</f>
        <v>-2750076.4200000004</v>
      </c>
      <c r="E100" s="127"/>
    </row>
    <row r="101" spans="1:5" x14ac:dyDescent="0.25">
      <c r="A101" s="203" t="s">
        <v>117</v>
      </c>
      <c r="B101" s="204"/>
      <c r="C101" s="205"/>
      <c r="D101" s="175">
        <f>SUM(D99:D100)</f>
        <v>14211247.253056319</v>
      </c>
      <c r="E101" s="171">
        <f>D101/4</f>
        <v>3552811.8132640799</v>
      </c>
    </row>
    <row r="102" spans="1:5" x14ac:dyDescent="0.25">
      <c r="A102" s="122"/>
      <c r="B102" s="123"/>
      <c r="C102" s="124"/>
      <c r="D102" s="127"/>
    </row>
    <row r="103" spans="1:5" x14ac:dyDescent="0.25">
      <c r="A103" s="172" t="s">
        <v>123</v>
      </c>
      <c r="B103" s="173">
        <v>200</v>
      </c>
      <c r="C103" s="172" t="s">
        <v>115</v>
      </c>
      <c r="D103" s="169">
        <f>B103*(B79)</f>
        <v>15714722.400000002</v>
      </c>
    </row>
    <row r="104" spans="1:5" x14ac:dyDescent="0.25">
      <c r="A104" s="172" t="s">
        <v>124</v>
      </c>
      <c r="B104" s="173">
        <v>50</v>
      </c>
      <c r="C104" s="172" t="s">
        <v>115</v>
      </c>
      <c r="D104" s="169">
        <f>B104*(B80)</f>
        <v>2760000</v>
      </c>
    </row>
    <row r="105" spans="1:5" x14ac:dyDescent="0.25">
      <c r="A105" s="172" t="s">
        <v>125</v>
      </c>
      <c r="B105" s="168">
        <v>70</v>
      </c>
      <c r="C105" s="172" t="s">
        <v>115</v>
      </c>
      <c r="D105" s="169">
        <f>B105*(B81)</f>
        <v>1403360</v>
      </c>
    </row>
    <row r="106" spans="1:5" x14ac:dyDescent="0.25">
      <c r="A106" s="203" t="s">
        <v>126</v>
      </c>
      <c r="B106" s="204"/>
      <c r="C106" s="205"/>
      <c r="D106" s="175">
        <f>SUM(D103:D105)</f>
        <v>19878082.400000002</v>
      </c>
      <c r="E106" s="44">
        <f>D106/4</f>
        <v>4969520.6000000006</v>
      </c>
    </row>
  </sheetData>
  <mergeCells count="17">
    <mergeCell ref="Y63:AD63"/>
    <mergeCell ref="A60:D60"/>
    <mergeCell ref="F87:H90"/>
    <mergeCell ref="A101:C101"/>
    <mergeCell ref="A100:C100"/>
    <mergeCell ref="A99:C99"/>
    <mergeCell ref="Y64:AD69"/>
    <mergeCell ref="A106:C106"/>
    <mergeCell ref="A48:B48"/>
    <mergeCell ref="A6:B6"/>
    <mergeCell ref="D6:F6"/>
    <mergeCell ref="B8:C8"/>
    <mergeCell ref="F42:G46"/>
    <mergeCell ref="F41:G41"/>
    <mergeCell ref="A24:B24"/>
    <mergeCell ref="A26:G26"/>
    <mergeCell ref="A30:B30"/>
  </mergeCells>
  <pageMargins left="0.7" right="0.7" top="0.75" bottom="0.75" header="0.3" footer="0.3"/>
  <pageSetup paperSize="8" scale="40"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122"/>
  <sheetViews>
    <sheetView zoomScale="75" zoomScaleNormal="75" workbookViewId="0">
      <selection activeCell="A2" sqref="A2"/>
    </sheetView>
  </sheetViews>
  <sheetFormatPr defaultRowHeight="15" x14ac:dyDescent="0.25"/>
  <cols>
    <col min="1" max="1" width="48.140625" customWidth="1"/>
    <col min="2" max="2" width="18" customWidth="1"/>
    <col min="3" max="3" width="17.140625" customWidth="1"/>
    <col min="4" max="4" width="18.5703125" customWidth="1"/>
    <col min="5" max="5" width="27.42578125" customWidth="1"/>
    <col min="6" max="6" width="18.85546875" customWidth="1"/>
    <col min="7" max="8" width="16.42578125" customWidth="1"/>
    <col min="9" max="9" width="14.28515625" customWidth="1"/>
    <col min="10" max="10" width="12.7109375" bestFit="1" customWidth="1"/>
    <col min="11" max="11" width="16.7109375" customWidth="1"/>
    <col min="12" max="12" width="17.140625" customWidth="1"/>
    <col min="13" max="13" width="13.7109375" customWidth="1"/>
    <col min="14" max="14" width="15.7109375" bestFit="1" customWidth="1"/>
    <col min="15" max="15" width="12.28515625" customWidth="1"/>
    <col min="16" max="16" width="18.28515625" customWidth="1"/>
    <col min="17" max="17" width="15.28515625" customWidth="1"/>
    <col min="18" max="20" width="16.140625" customWidth="1"/>
    <col min="21" max="21" width="21.85546875" customWidth="1"/>
    <col min="22" max="23" width="19" customWidth="1"/>
    <col min="24" max="24" width="17.85546875" customWidth="1"/>
    <col min="25" max="25" width="18.5703125" customWidth="1"/>
    <col min="26" max="27" width="17.7109375" customWidth="1"/>
  </cols>
  <sheetData>
    <row r="1" spans="1:17" x14ac:dyDescent="0.25">
      <c r="A1" s="9" t="s">
        <v>166</v>
      </c>
    </row>
    <row r="2" spans="1:17" x14ac:dyDescent="0.25">
      <c r="A2" s="202" t="s">
        <v>175</v>
      </c>
    </row>
    <row r="3" spans="1:17" x14ac:dyDescent="0.25">
      <c r="A3" s="202"/>
    </row>
    <row r="4" spans="1:17" x14ac:dyDescent="0.25">
      <c r="A4" s="9" t="s">
        <v>160</v>
      </c>
    </row>
    <row r="5" spans="1:17" x14ac:dyDescent="0.25">
      <c r="A5" s="1"/>
    </row>
    <row r="6" spans="1:17" x14ac:dyDescent="0.25">
      <c r="A6" s="65" t="s">
        <v>27</v>
      </c>
      <c r="B6" s="22">
        <v>3104</v>
      </c>
      <c r="C6" s="235" t="s">
        <v>54</v>
      </c>
      <c r="D6" s="236"/>
      <c r="E6" s="237"/>
      <c r="F6" s="66"/>
    </row>
    <row r="8" spans="1:17" x14ac:dyDescent="0.25">
      <c r="A8" s="31" t="s">
        <v>25</v>
      </c>
      <c r="B8" s="228" t="s">
        <v>75</v>
      </c>
      <c r="C8" s="228"/>
      <c r="D8" s="228"/>
      <c r="E8" s="228"/>
    </row>
    <row r="9" spans="1:17" ht="15.75" thickBot="1" x14ac:dyDescent="0.3">
      <c r="A9" s="33"/>
      <c r="B9" s="95"/>
      <c r="C9" s="35"/>
      <c r="D9" s="35"/>
    </row>
    <row r="10" spans="1:17" x14ac:dyDescent="0.25">
      <c r="A10" s="80" t="s">
        <v>51</v>
      </c>
      <c r="B10" s="81"/>
      <c r="C10" s="81"/>
      <c r="D10" s="81"/>
      <c r="E10" s="82"/>
      <c r="G10" s="13"/>
      <c r="I10" s="13"/>
      <c r="J10" s="13"/>
      <c r="K10" s="13"/>
      <c r="L10" s="13"/>
      <c r="M10" s="13"/>
    </row>
    <row r="11" spans="1:17" x14ac:dyDescent="0.25">
      <c r="A11" s="83" t="s">
        <v>0</v>
      </c>
      <c r="B11" s="16" t="s">
        <v>2</v>
      </c>
      <c r="C11" s="16" t="s">
        <v>3</v>
      </c>
      <c r="D11" s="16" t="s">
        <v>4</v>
      </c>
      <c r="E11" s="84" t="s">
        <v>5</v>
      </c>
      <c r="G11" s="13"/>
      <c r="I11" s="13"/>
      <c r="J11" s="13"/>
      <c r="K11" s="13"/>
      <c r="L11" s="13"/>
      <c r="M11" s="13"/>
    </row>
    <row r="12" spans="1:17" x14ac:dyDescent="0.25">
      <c r="A12" s="85" t="s">
        <v>7</v>
      </c>
      <c r="B12" s="6">
        <v>0.5</v>
      </c>
      <c r="C12" s="6">
        <v>0.3</v>
      </c>
      <c r="D12" s="6">
        <v>0.1</v>
      </c>
      <c r="E12" s="7">
        <v>0.1</v>
      </c>
      <c r="G12" s="13"/>
      <c r="H12" s="13"/>
      <c r="I12" s="13"/>
      <c r="J12" s="13"/>
      <c r="K12" s="13"/>
      <c r="M12" s="13"/>
      <c r="N12" s="13"/>
      <c r="O12" s="13"/>
      <c r="P12" s="13"/>
      <c r="Q12" s="13"/>
    </row>
    <row r="13" spans="1:17" x14ac:dyDescent="0.25">
      <c r="A13" s="85" t="s">
        <v>8</v>
      </c>
      <c r="B13" s="6">
        <v>0.25</v>
      </c>
      <c r="C13" s="6">
        <v>0.5</v>
      </c>
      <c r="D13" s="6">
        <v>0.25</v>
      </c>
      <c r="E13" s="7">
        <v>0</v>
      </c>
      <c r="G13" s="13"/>
      <c r="H13" s="13"/>
      <c r="I13" s="13"/>
      <c r="J13" s="13"/>
      <c r="K13" s="13"/>
      <c r="M13" s="13"/>
      <c r="N13" s="13"/>
      <c r="O13" s="13"/>
      <c r="P13" s="13"/>
      <c r="Q13" s="13"/>
    </row>
    <row r="14" spans="1:17" ht="15.75" thickBot="1" x14ac:dyDescent="0.3">
      <c r="A14" s="86" t="s">
        <v>9</v>
      </c>
      <c r="B14" s="87">
        <v>0.3</v>
      </c>
      <c r="C14" s="87">
        <v>0.25</v>
      </c>
      <c r="D14" s="87">
        <v>0.3</v>
      </c>
      <c r="E14" s="8">
        <v>0.15</v>
      </c>
      <c r="G14" s="13"/>
      <c r="H14" s="13"/>
      <c r="I14" s="13"/>
      <c r="J14" s="13"/>
      <c r="K14" s="13"/>
      <c r="M14" s="13"/>
      <c r="N14" s="13"/>
      <c r="O14" s="13"/>
      <c r="P14" s="13"/>
      <c r="Q14" s="13"/>
    </row>
    <row r="15" spans="1:17" x14ac:dyDescent="0.25">
      <c r="A15" s="32"/>
      <c r="B15" s="13"/>
      <c r="C15" s="13"/>
      <c r="D15" s="13"/>
      <c r="E15" s="13"/>
    </row>
    <row r="16" spans="1:17" x14ac:dyDescent="0.25">
      <c r="A16" s="2" t="s">
        <v>52</v>
      </c>
      <c r="B16" s="148">
        <v>0.35</v>
      </c>
      <c r="C16" s="13"/>
    </row>
    <row r="17" spans="1:17" x14ac:dyDescent="0.25">
      <c r="A17" s="2" t="s">
        <v>26</v>
      </c>
      <c r="B17" s="2" t="s">
        <v>1</v>
      </c>
      <c r="C17" s="2" t="s">
        <v>7</v>
      </c>
      <c r="D17" s="36" t="s">
        <v>8</v>
      </c>
      <c r="E17" s="2" t="s">
        <v>9</v>
      </c>
    </row>
    <row r="18" spans="1:17" x14ac:dyDescent="0.25">
      <c r="A18" s="2" t="s">
        <v>12</v>
      </c>
      <c r="B18" s="2">
        <f>SUM(C18:E18)</f>
        <v>1318.424</v>
      </c>
      <c r="C18" s="78">
        <f>($B$22*(100%-$B$16))*B12</f>
        <v>1008.8000000000001</v>
      </c>
      <c r="D18" s="78">
        <f>($B$22*(100%*0.105))*B13</f>
        <v>81.48</v>
      </c>
      <c r="E18" s="78">
        <f>($B$22*(100%*0.245))*B14</f>
        <v>228.14400000000001</v>
      </c>
      <c r="F18" s="79"/>
    </row>
    <row r="19" spans="1:17" x14ac:dyDescent="0.25">
      <c r="A19" s="2" t="s">
        <v>3</v>
      </c>
      <c r="B19" s="2">
        <f>SUM(C19:E19)</f>
        <v>958.36</v>
      </c>
      <c r="C19" s="78">
        <f>($B$22*(100%-$B$16))*C12</f>
        <v>605.28</v>
      </c>
      <c r="D19" s="78">
        <f>($B$22*(100%*0.105))*C13</f>
        <v>162.96</v>
      </c>
      <c r="E19" s="78">
        <f>($B$22*(100%*0.245))*C14</f>
        <v>190.12</v>
      </c>
      <c r="F19" s="79"/>
    </row>
    <row r="20" spans="1:17" x14ac:dyDescent="0.25">
      <c r="A20" s="2" t="s">
        <v>4</v>
      </c>
      <c r="B20" s="2">
        <f>SUM(C20:E20)</f>
        <v>511.38400000000001</v>
      </c>
      <c r="C20" s="78">
        <f>($B$22*(100%-$B$16))*D12</f>
        <v>201.76000000000002</v>
      </c>
      <c r="D20" s="78">
        <f>($B$22*(100%*0.105))*D13</f>
        <v>81.48</v>
      </c>
      <c r="E20" s="78">
        <f>($B$22*(100%*0.245))*D14</f>
        <v>228.14400000000001</v>
      </c>
      <c r="F20" s="79"/>
    </row>
    <row r="21" spans="1:17" x14ac:dyDescent="0.25">
      <c r="A21" s="2" t="s">
        <v>5</v>
      </c>
      <c r="B21" s="2">
        <f>SUM(C21:E21)</f>
        <v>315.83199999999999</v>
      </c>
      <c r="C21" s="78">
        <f>($B$22*(100%-$B$16))*E12</f>
        <v>201.76000000000002</v>
      </c>
      <c r="D21" s="78">
        <f>($B$22*(100%*0.105))*E13</f>
        <v>0</v>
      </c>
      <c r="E21" s="78">
        <f>($B$22*(100%*0.245))*E14</f>
        <v>114.072</v>
      </c>
      <c r="F21" s="79"/>
    </row>
    <row r="22" spans="1:17" x14ac:dyDescent="0.25">
      <c r="A22" s="2" t="s">
        <v>6</v>
      </c>
      <c r="B22" s="22">
        <f>B6</f>
        <v>3104</v>
      </c>
      <c r="C22" s="78">
        <f>SUM(C18:C21)</f>
        <v>2017.6</v>
      </c>
      <c r="D22" s="78">
        <f>SUM(D18:D21)</f>
        <v>325.92</v>
      </c>
      <c r="E22" s="78">
        <f>SUM(E18:E21)</f>
        <v>760.48</v>
      </c>
      <c r="F22" s="79"/>
    </row>
    <row r="23" spans="1:17" x14ac:dyDescent="0.25">
      <c r="A23" s="32"/>
      <c r="B23" s="13"/>
      <c r="C23" s="13"/>
      <c r="D23" s="13"/>
      <c r="E23" s="13"/>
      <c r="G23" s="13"/>
      <c r="H23" s="13"/>
      <c r="I23" s="13"/>
      <c r="J23" s="13"/>
      <c r="K23" s="13"/>
      <c r="M23" s="13"/>
      <c r="N23" s="13"/>
      <c r="O23" s="13"/>
      <c r="P23" s="13"/>
      <c r="Q23" s="13"/>
    </row>
    <row r="24" spans="1:17" x14ac:dyDescent="0.25">
      <c r="A24" s="241" t="s">
        <v>167</v>
      </c>
      <c r="B24" s="241"/>
      <c r="C24" s="241"/>
      <c r="D24" s="241"/>
      <c r="E24" s="241"/>
      <c r="F24" s="241"/>
      <c r="G24" s="241"/>
      <c r="H24" s="241"/>
      <c r="I24" s="13"/>
      <c r="J24" s="13"/>
      <c r="K24" s="13"/>
      <c r="M24" s="13"/>
      <c r="N24" s="13"/>
      <c r="O24" s="13"/>
      <c r="P24" s="13"/>
      <c r="Q24" s="13"/>
    </row>
    <row r="25" spans="1:17" x14ac:dyDescent="0.25">
      <c r="A25" s="53"/>
      <c r="B25" s="53"/>
      <c r="C25" s="53"/>
      <c r="D25" s="53"/>
      <c r="E25" s="53"/>
      <c r="F25" s="53"/>
      <c r="G25" s="53"/>
      <c r="H25" s="53"/>
      <c r="I25" s="13"/>
      <c r="J25" s="13"/>
      <c r="K25" s="13"/>
      <c r="M25" s="13"/>
      <c r="N25" s="13"/>
      <c r="O25" s="13"/>
      <c r="P25" s="13"/>
      <c r="Q25" s="13"/>
    </row>
    <row r="26" spans="1:17" x14ac:dyDescent="0.25">
      <c r="A26" s="182" t="s">
        <v>56</v>
      </c>
      <c r="B26" s="53"/>
      <c r="C26" s="53"/>
      <c r="D26" s="53"/>
      <c r="E26" s="53"/>
      <c r="F26" s="53"/>
      <c r="G26" s="53"/>
      <c r="H26" s="53"/>
      <c r="I26" s="13"/>
      <c r="J26" s="13"/>
      <c r="K26" s="13"/>
      <c r="M26" s="13"/>
      <c r="N26" s="13"/>
      <c r="O26" s="13"/>
      <c r="P26" s="13"/>
      <c r="Q26" s="13"/>
    </row>
    <row r="27" spans="1:17" x14ac:dyDescent="0.25">
      <c r="A27" s="32"/>
      <c r="B27" s="13"/>
      <c r="C27" s="13"/>
      <c r="D27" s="13"/>
      <c r="E27" s="13"/>
      <c r="G27" s="13"/>
      <c r="H27" s="13"/>
      <c r="I27" s="13"/>
      <c r="J27" s="13"/>
      <c r="K27" s="13"/>
      <c r="M27" s="13"/>
      <c r="N27" s="13"/>
      <c r="O27" s="13"/>
      <c r="P27" s="13"/>
      <c r="Q27" s="13"/>
    </row>
    <row r="28" spans="1:17" ht="30" customHeight="1" x14ac:dyDescent="0.25">
      <c r="A28" s="238" t="s">
        <v>157</v>
      </c>
      <c r="B28" s="239"/>
      <c r="C28" s="239"/>
      <c r="D28" s="239"/>
      <c r="E28" s="239"/>
      <c r="F28" s="239"/>
      <c r="G28" s="240"/>
      <c r="H28" s="67"/>
      <c r="I28" s="67"/>
      <c r="J28" s="67"/>
    </row>
    <row r="29" spans="1:17" x14ac:dyDescent="0.25">
      <c r="A29" s="15"/>
      <c r="B29" s="32"/>
      <c r="C29" s="52"/>
      <c r="D29" s="52"/>
      <c r="E29" s="52"/>
      <c r="F29" s="52"/>
      <c r="G29" s="52"/>
      <c r="H29" s="52"/>
      <c r="I29" s="52"/>
      <c r="J29" s="67"/>
      <c r="K29" s="67"/>
      <c r="L29" s="67"/>
    </row>
    <row r="30" spans="1:17" x14ac:dyDescent="0.25">
      <c r="A30" s="15" t="s">
        <v>16</v>
      </c>
      <c r="B30" s="32"/>
      <c r="C30" s="52"/>
      <c r="D30" s="52"/>
      <c r="E30" s="52"/>
      <c r="F30" s="52"/>
      <c r="G30" s="52"/>
      <c r="H30" s="52"/>
      <c r="I30" s="52"/>
      <c r="J30" s="67"/>
      <c r="K30" s="67"/>
      <c r="L30" s="67"/>
    </row>
    <row r="31" spans="1:17" ht="18" customHeight="1" thickBot="1" x14ac:dyDescent="0.3">
      <c r="A31" s="15"/>
      <c r="B31" s="32"/>
      <c r="C31" s="52"/>
      <c r="D31" s="53"/>
      <c r="E31" s="53"/>
      <c r="F31" s="53"/>
      <c r="G31" s="53"/>
      <c r="H31" s="53"/>
      <c r="I31" s="53"/>
    </row>
    <row r="32" spans="1:17" x14ac:dyDescent="0.25">
      <c r="A32" s="221" t="s">
        <v>76</v>
      </c>
      <c r="B32" s="222"/>
      <c r="C32" s="32"/>
      <c r="D32" s="40" t="s">
        <v>52</v>
      </c>
      <c r="E32" s="54">
        <f>B16</f>
        <v>0.35</v>
      </c>
      <c r="F32" s="39"/>
      <c r="G32" s="39"/>
      <c r="H32" s="39"/>
      <c r="I32" s="39"/>
    </row>
    <row r="33" spans="1:12" x14ac:dyDescent="0.25">
      <c r="A33" s="69"/>
      <c r="B33" s="70"/>
      <c r="C33" s="32"/>
      <c r="D33" s="40" t="s">
        <v>26</v>
      </c>
      <c r="E33" s="40" t="s">
        <v>6</v>
      </c>
      <c r="F33" s="40" t="s">
        <v>7</v>
      </c>
      <c r="G33" s="40" t="s">
        <v>8</v>
      </c>
      <c r="H33" s="40" t="s">
        <v>9</v>
      </c>
      <c r="I33" s="39"/>
      <c r="J33" s="13"/>
    </row>
    <row r="34" spans="1:12" x14ac:dyDescent="0.25">
      <c r="A34" s="71" t="s">
        <v>14</v>
      </c>
      <c r="B34" s="72" t="s">
        <v>15</v>
      </c>
      <c r="C34" s="32"/>
      <c r="D34" s="40" t="s">
        <v>12</v>
      </c>
      <c r="E34" s="68">
        <f>SUM(F34:H34)</f>
        <v>57351.444000000003</v>
      </c>
      <c r="F34" s="68">
        <f>C18*B35</f>
        <v>43882.8</v>
      </c>
      <c r="G34" s="68">
        <f>D18*B35</f>
        <v>3544.38</v>
      </c>
      <c r="H34" s="68">
        <f>E18*B35</f>
        <v>9924.264000000001</v>
      </c>
      <c r="I34" s="77"/>
      <c r="J34" s="10"/>
    </row>
    <row r="35" spans="1:12" x14ac:dyDescent="0.25">
      <c r="A35" s="73" t="s">
        <v>12</v>
      </c>
      <c r="B35" s="74">
        <v>43.5</v>
      </c>
      <c r="C35" s="32"/>
      <c r="D35" s="40" t="s">
        <v>3</v>
      </c>
      <c r="E35" s="68">
        <f>SUM(F35:H35)</f>
        <v>57817.858799999995</v>
      </c>
      <c r="F35" s="68">
        <f>C19*B36</f>
        <v>36516.542399999998</v>
      </c>
      <c r="G35" s="68">
        <f>D19*B36</f>
        <v>9831.3768</v>
      </c>
      <c r="H35" s="68">
        <f>E19*B36</f>
        <v>11469.9396</v>
      </c>
      <c r="I35" s="77"/>
      <c r="J35" s="10"/>
    </row>
    <row r="36" spans="1:12" x14ac:dyDescent="0.25">
      <c r="A36" s="73" t="s">
        <v>3</v>
      </c>
      <c r="B36" s="74">
        <v>60.33</v>
      </c>
      <c r="C36" s="32"/>
      <c r="D36" s="40" t="s">
        <v>4</v>
      </c>
      <c r="E36" s="68">
        <f>SUM(F36:H36)</f>
        <v>43467.64</v>
      </c>
      <c r="F36" s="68">
        <f>C20*B37</f>
        <v>17149.600000000002</v>
      </c>
      <c r="G36" s="68">
        <f>D20*B37</f>
        <v>6925.8</v>
      </c>
      <c r="H36" s="68">
        <f>E20*B37</f>
        <v>19392.240000000002</v>
      </c>
      <c r="I36" s="77"/>
      <c r="J36" s="10"/>
    </row>
    <row r="37" spans="1:12" x14ac:dyDescent="0.25">
      <c r="A37" s="73" t="s">
        <v>4</v>
      </c>
      <c r="B37" s="74">
        <v>85</v>
      </c>
      <c r="C37" s="32"/>
      <c r="D37" s="40" t="s">
        <v>5</v>
      </c>
      <c r="E37" s="68">
        <f>SUM(F37:H37)</f>
        <v>29846.124000000003</v>
      </c>
      <c r="F37" s="68">
        <f>C21*B38</f>
        <v>19066.320000000003</v>
      </c>
      <c r="G37" s="68">
        <f>D21*B38</f>
        <v>0</v>
      </c>
      <c r="H37" s="68">
        <f>E21*B38</f>
        <v>10779.804</v>
      </c>
      <c r="I37" s="77"/>
      <c r="J37" s="10"/>
    </row>
    <row r="38" spans="1:12" ht="15.75" thickBot="1" x14ac:dyDescent="0.3">
      <c r="A38" s="75" t="s">
        <v>5</v>
      </c>
      <c r="B38" s="76">
        <v>94.5</v>
      </c>
      <c r="C38" s="32"/>
      <c r="D38" s="40" t="s">
        <v>6</v>
      </c>
      <c r="E38" s="68">
        <f>SUM(F38:H38)</f>
        <v>188483.0668</v>
      </c>
      <c r="F38" s="68">
        <f>SUM(F34:F37)</f>
        <v>116615.26240000001</v>
      </c>
      <c r="G38" s="68">
        <f>SUM(G34:G37)</f>
        <v>20301.556799999998</v>
      </c>
      <c r="H38" s="68">
        <f>SUM(H34:H37)</f>
        <v>51566.247600000002</v>
      </c>
      <c r="I38" s="77"/>
      <c r="J38" s="10"/>
    </row>
    <row r="39" spans="1:12" x14ac:dyDescent="0.25">
      <c r="A39" s="15"/>
      <c r="B39" s="32"/>
      <c r="C39" s="32"/>
      <c r="D39" s="32"/>
      <c r="E39" s="32"/>
      <c r="F39" s="39"/>
      <c r="G39" s="39"/>
      <c r="H39" s="39"/>
      <c r="I39" s="39"/>
      <c r="J39" s="39"/>
      <c r="K39" s="39"/>
      <c r="L39" s="39"/>
    </row>
    <row r="40" spans="1:12" x14ac:dyDescent="0.25">
      <c r="A40" s="206" t="s">
        <v>24</v>
      </c>
      <c r="B40" s="206"/>
      <c r="C40" s="18">
        <v>0.7</v>
      </c>
      <c r="D40" t="s">
        <v>29</v>
      </c>
    </row>
    <row r="41" spans="1:12" x14ac:dyDescent="0.25">
      <c r="A41" s="97"/>
      <c r="B41" s="97"/>
      <c r="C41" s="28"/>
    </row>
    <row r="42" spans="1:12" x14ac:dyDescent="0.25">
      <c r="A42" s="234" t="s">
        <v>162</v>
      </c>
      <c r="B42" s="234"/>
      <c r="C42" s="234"/>
    </row>
    <row r="43" spans="1:12" x14ac:dyDescent="0.25">
      <c r="A43" s="97"/>
      <c r="B43" s="97"/>
      <c r="C43" s="97"/>
    </row>
    <row r="44" spans="1:12" ht="15" customHeight="1" x14ac:dyDescent="0.25">
      <c r="A44" s="206" t="s">
        <v>70</v>
      </c>
      <c r="B44" s="206"/>
      <c r="C44" s="28"/>
    </row>
    <row r="45" spans="1:12" x14ac:dyDescent="0.25">
      <c r="A45" s="41" t="s">
        <v>20</v>
      </c>
      <c r="B45" s="41" t="s">
        <v>21</v>
      </c>
      <c r="C45" s="41" t="s">
        <v>18</v>
      </c>
      <c r="D45" s="41" t="s">
        <v>58</v>
      </c>
      <c r="E45" s="41" t="s">
        <v>22</v>
      </c>
      <c r="F45" s="41" t="s">
        <v>87</v>
      </c>
      <c r="H45" s="15"/>
    </row>
    <row r="46" spans="1:12" x14ac:dyDescent="0.25">
      <c r="A46" s="41" t="s">
        <v>16</v>
      </c>
      <c r="B46" s="68">
        <f>E38</f>
        <v>188483.0668</v>
      </c>
      <c r="C46" s="68">
        <f>(((100/$B$51)*B46)/100)*$C$51</f>
        <v>45942.847367894625</v>
      </c>
      <c r="D46" s="68">
        <f>(((100/$B$51)*B46)/100)*$D$51</f>
        <v>5613.250919998487</v>
      </c>
      <c r="E46" s="68">
        <f t="shared" ref="E46:E51" si="0">(B46*0.3)-(D46+C46)</f>
        <v>4988.8217521068873</v>
      </c>
      <c r="F46" s="68">
        <f>SUM(B46:E46)</f>
        <v>245027.98684</v>
      </c>
      <c r="H46" s="138"/>
    </row>
    <row r="47" spans="1:12" x14ac:dyDescent="0.25">
      <c r="A47" s="41" t="s">
        <v>17</v>
      </c>
      <c r="B47" s="68">
        <v>31578</v>
      </c>
      <c r="C47" s="68">
        <f>(((100/$B$51)*B47)/100)*$C$51</f>
        <v>7697.154226182065</v>
      </c>
      <c r="D47" s="68">
        <f>(((100/$B$51)*B47)/100)*$D$51</f>
        <v>940.43056790771732</v>
      </c>
      <c r="E47" s="68">
        <f t="shared" si="0"/>
        <v>835.81520591021763</v>
      </c>
      <c r="F47" s="68">
        <f>SUM(B47:D47)</f>
        <v>40215.58479408978</v>
      </c>
      <c r="H47" s="138"/>
    </row>
    <row r="48" spans="1:12" x14ac:dyDescent="0.25">
      <c r="A48" s="41" t="s">
        <v>19</v>
      </c>
      <c r="B48" s="68">
        <v>239156</v>
      </c>
      <c r="C48" s="68">
        <f>(((100/$B$51)*B48)/100)*$C$51</f>
        <v>58294.401675748864</v>
      </c>
      <c r="D48" s="68">
        <f>(((100/$B$51)*B48)/100)*$D$51</f>
        <v>7122.3514123294071</v>
      </c>
      <c r="E48" s="68">
        <f t="shared" si="0"/>
        <v>6330.0469119217305</v>
      </c>
      <c r="F48" s="68">
        <f>SUM(B48:D48)</f>
        <v>304572.75308807829</v>
      </c>
      <c r="H48" s="138"/>
    </row>
    <row r="49" spans="1:19" x14ac:dyDescent="0.25">
      <c r="A49" s="41" t="s">
        <v>57</v>
      </c>
      <c r="B49" s="68">
        <v>10448</v>
      </c>
      <c r="C49" s="68">
        <f>(((100/$B$51)*B49)/100)*$C$51</f>
        <v>2546.7055340791121</v>
      </c>
      <c r="D49" s="68">
        <f>(((100/$B$51)*B49)/100)*$D$51</f>
        <v>311.15392277851129</v>
      </c>
      <c r="E49" s="68">
        <f t="shared" si="0"/>
        <v>276.54054314237646</v>
      </c>
      <c r="F49" s="68">
        <f>SUM(B49:D49)</f>
        <v>13305.859456857623</v>
      </c>
      <c r="H49" s="138"/>
    </row>
    <row r="50" spans="1:19" x14ac:dyDescent="0.25">
      <c r="A50" s="42" t="s">
        <v>59</v>
      </c>
      <c r="B50" s="68">
        <v>6978</v>
      </c>
      <c r="C50" s="68">
        <f>(((100/$B$51)*B50)/100)*$C$51</f>
        <v>1700.8911960953335</v>
      </c>
      <c r="D50" s="68">
        <f>(((100/$B$51)*B50)/100)*$D$51</f>
        <v>207.81317698587785</v>
      </c>
      <c r="E50" s="68">
        <f t="shared" si="0"/>
        <v>184.69562691878878</v>
      </c>
      <c r="F50" s="68">
        <f>SUM(B50:D50)</f>
        <v>8886.7043730812111</v>
      </c>
      <c r="H50" s="138"/>
    </row>
    <row r="51" spans="1:19" x14ac:dyDescent="0.25">
      <c r="A51" s="41" t="s">
        <v>6</v>
      </c>
      <c r="B51" s="68">
        <f>SUM(B46:B50)</f>
        <v>476643.06680000003</v>
      </c>
      <c r="C51" s="68">
        <v>116182</v>
      </c>
      <c r="D51" s="68">
        <v>14195</v>
      </c>
      <c r="E51" s="68">
        <f t="shared" si="0"/>
        <v>12615.920039999997</v>
      </c>
      <c r="F51" s="68">
        <f>SUM(B51:E51)</f>
        <v>619635.98684000003</v>
      </c>
      <c r="H51" s="138"/>
    </row>
    <row r="52" spans="1:19" x14ac:dyDescent="0.25">
      <c r="A52" s="50"/>
      <c r="B52" s="50"/>
      <c r="C52" s="55"/>
    </row>
    <row r="53" spans="1:19" x14ac:dyDescent="0.25">
      <c r="A53" s="97" t="s">
        <v>47</v>
      </c>
      <c r="B53" s="97"/>
      <c r="C53" s="47"/>
    </row>
    <row r="54" spans="1:19" x14ac:dyDescent="0.25">
      <c r="A54" s="97"/>
      <c r="B54" s="97"/>
      <c r="C54" s="47"/>
    </row>
    <row r="55" spans="1:19" x14ac:dyDescent="0.25">
      <c r="A55" s="96" t="s">
        <v>20</v>
      </c>
      <c r="B55" s="96" t="s">
        <v>50</v>
      </c>
      <c r="C55" s="47"/>
      <c r="D55" s="45" t="s">
        <v>94</v>
      </c>
      <c r="E55" s="13"/>
      <c r="F55" s="13"/>
    </row>
    <row r="56" spans="1:19" x14ac:dyDescent="0.25">
      <c r="A56" s="96" t="s">
        <v>16</v>
      </c>
      <c r="B56" s="98">
        <v>1102</v>
      </c>
      <c r="C56" s="47"/>
      <c r="D56" s="14" t="s">
        <v>95</v>
      </c>
      <c r="E56" s="14" t="s">
        <v>96</v>
      </c>
      <c r="F56" s="14" t="s">
        <v>97</v>
      </c>
      <c r="H56" s="100"/>
    </row>
    <row r="57" spans="1:19" x14ac:dyDescent="0.25">
      <c r="A57" s="96" t="s">
        <v>17</v>
      </c>
      <c r="B57" s="98">
        <v>0</v>
      </c>
      <c r="C57" s="47"/>
      <c r="D57" s="109" t="s">
        <v>89</v>
      </c>
      <c r="E57" s="110">
        <f>D67/$D$71</f>
        <v>0.48356958762886598</v>
      </c>
      <c r="F57" s="110">
        <v>483</v>
      </c>
      <c r="H57" s="107"/>
    </row>
    <row r="58" spans="1:19" x14ac:dyDescent="0.25">
      <c r="A58" s="96" t="s">
        <v>48</v>
      </c>
      <c r="B58" s="98">
        <v>0</v>
      </c>
      <c r="C58" s="47"/>
      <c r="D58" s="94" t="s">
        <v>90</v>
      </c>
      <c r="E58" s="2">
        <f>D68/$D$71</f>
        <v>0.17557989690721648</v>
      </c>
      <c r="F58" s="2">
        <f>1000-(F57+F59)</f>
        <v>177</v>
      </c>
    </row>
    <row r="59" spans="1:19" x14ac:dyDescent="0.25">
      <c r="A59" s="96" t="s">
        <v>49</v>
      </c>
      <c r="B59" s="98">
        <v>0</v>
      </c>
      <c r="C59" s="47"/>
      <c r="D59" s="94" t="s">
        <v>91</v>
      </c>
      <c r="E59" s="2">
        <f>D69/$D$71</f>
        <v>0.34085051546391754</v>
      </c>
      <c r="F59" s="2">
        <v>340</v>
      </c>
    </row>
    <row r="60" spans="1:19" x14ac:dyDescent="0.25">
      <c r="A60" s="96" t="s">
        <v>6</v>
      </c>
      <c r="B60" s="98">
        <v>1102</v>
      </c>
      <c r="C60" s="47"/>
    </row>
    <row r="61" spans="1:19" x14ac:dyDescent="0.25">
      <c r="R61" s="101"/>
    </row>
    <row r="62" spans="1:19" x14ac:dyDescent="0.25">
      <c r="A62" s="45" t="s">
        <v>168</v>
      </c>
      <c r="R62" s="101"/>
      <c r="S62" s="101"/>
    </row>
    <row r="63" spans="1:19" x14ac:dyDescent="0.25">
      <c r="A63" s="209" t="s">
        <v>77</v>
      </c>
      <c r="B63" s="209"/>
      <c r="C63" s="209"/>
      <c r="D63" s="209"/>
      <c r="E63" s="188"/>
      <c r="R63" s="101"/>
      <c r="S63" s="101"/>
    </row>
    <row r="65" spans="1:32" x14ac:dyDescent="0.25">
      <c r="A65" s="14" t="s">
        <v>52</v>
      </c>
      <c r="B65" s="183">
        <v>0.35</v>
      </c>
      <c r="C65" s="37"/>
      <c r="D65" s="1"/>
      <c r="I65" s="229" t="s">
        <v>92</v>
      </c>
      <c r="J65" s="230"/>
      <c r="K65" s="230"/>
      <c r="L65" s="230"/>
      <c r="M65" s="230"/>
      <c r="N65" s="231"/>
      <c r="O65" s="32"/>
      <c r="P65" s="61"/>
      <c r="Q65" s="61"/>
      <c r="R65" s="61"/>
      <c r="S65" s="61"/>
      <c r="T65" s="61"/>
      <c r="U65" s="61"/>
      <c r="V65" s="61"/>
      <c r="W65" s="61"/>
    </row>
    <row r="66" spans="1:32" ht="30" x14ac:dyDescent="0.25">
      <c r="A66" s="5" t="s">
        <v>11</v>
      </c>
      <c r="B66" s="5" t="s">
        <v>31</v>
      </c>
      <c r="C66" s="62" t="s">
        <v>33</v>
      </c>
      <c r="D66" s="59" t="s">
        <v>60</v>
      </c>
      <c r="E66" s="59" t="s">
        <v>68</v>
      </c>
      <c r="F66" s="59" t="s">
        <v>7</v>
      </c>
      <c r="G66" s="59" t="s">
        <v>8</v>
      </c>
      <c r="H66" s="59" t="s">
        <v>9</v>
      </c>
      <c r="I66" s="60" t="s">
        <v>61</v>
      </c>
      <c r="J66" s="60" t="s">
        <v>98</v>
      </c>
      <c r="K66" s="60" t="s">
        <v>99</v>
      </c>
      <c r="L66" s="60" t="s">
        <v>100</v>
      </c>
      <c r="M66" s="60" t="s">
        <v>101</v>
      </c>
      <c r="N66" s="59" t="s">
        <v>102</v>
      </c>
      <c r="O66" s="59" t="s">
        <v>103</v>
      </c>
      <c r="P66" s="59" t="s">
        <v>104</v>
      </c>
      <c r="Q66" s="59" t="s">
        <v>105</v>
      </c>
      <c r="R66" s="59" t="s">
        <v>58</v>
      </c>
      <c r="S66" s="59" t="s">
        <v>132</v>
      </c>
      <c r="T66" s="59" t="s">
        <v>133</v>
      </c>
      <c r="U66" s="59" t="s">
        <v>106</v>
      </c>
      <c r="V66" s="59" t="s">
        <v>107</v>
      </c>
      <c r="W66" s="59" t="s">
        <v>141</v>
      </c>
      <c r="X66" s="59" t="s">
        <v>108</v>
      </c>
      <c r="Y66" s="59" t="s">
        <v>109</v>
      </c>
      <c r="Z66" s="59" t="s">
        <v>110</v>
      </c>
      <c r="AA66" s="59" t="s">
        <v>111</v>
      </c>
      <c r="AB66" s="233" t="s">
        <v>45</v>
      </c>
      <c r="AC66" s="233"/>
      <c r="AD66" s="233"/>
      <c r="AE66" s="233"/>
      <c r="AF66" s="233"/>
    </row>
    <row r="67" spans="1:32" ht="30" customHeight="1" x14ac:dyDescent="0.25">
      <c r="A67" s="103" t="s">
        <v>63</v>
      </c>
      <c r="B67" s="63">
        <v>41821</v>
      </c>
      <c r="C67" s="19" t="s">
        <v>71</v>
      </c>
      <c r="D67" s="111">
        <f>452+120+312+24+256+49+9+153+65+61</f>
        <v>1501</v>
      </c>
      <c r="E67" s="111">
        <v>48.356958762886592</v>
      </c>
      <c r="F67" s="111">
        <f>D67*(100%-$B$65)</f>
        <v>975.65</v>
      </c>
      <c r="G67" s="111">
        <f>($D67*$B$65)*30%</f>
        <v>157.60499999999999</v>
      </c>
      <c r="H67" s="111">
        <f>($D67*$B$65)*70%</f>
        <v>367.745</v>
      </c>
      <c r="I67" s="108">
        <v>118488.08255375001</v>
      </c>
      <c r="J67" s="108">
        <f>I67-L67</f>
        <v>77017.253659937502</v>
      </c>
      <c r="K67" s="118">
        <f>J67*10.764</f>
        <v>829013.71839556727</v>
      </c>
      <c r="L67" s="108">
        <f>I67*$B$65</f>
        <v>41470.828893812497</v>
      </c>
      <c r="M67" s="118">
        <f>L67*10.764</f>
        <v>446392.0022129977</v>
      </c>
      <c r="N67" s="108">
        <f>829+1329+320+295+1025+950+1335+84+411+111</f>
        <v>6689</v>
      </c>
      <c r="O67" s="118">
        <f>N67*10.764</f>
        <v>72000.395999999993</v>
      </c>
      <c r="P67" s="108">
        <f>7289+15717+10488</f>
        <v>33494</v>
      </c>
      <c r="Q67" s="118">
        <f>P67*10.764</f>
        <v>360529.41599999997</v>
      </c>
      <c r="R67" s="108">
        <f>2429+1992+333+444+427+195+129+286+1021+394</f>
        <v>7650</v>
      </c>
      <c r="S67" s="108"/>
      <c r="T67" s="108"/>
      <c r="U67" s="108">
        <f>1246+205</f>
        <v>1451</v>
      </c>
      <c r="V67" s="118">
        <f>U67*10.764</f>
        <v>15618.563999999998</v>
      </c>
      <c r="W67" s="118">
        <v>2711</v>
      </c>
      <c r="X67" s="112">
        <f>120525/4</f>
        <v>30131.25</v>
      </c>
      <c r="Y67" s="184">
        <f>X67*10.764</f>
        <v>324332.77499999997</v>
      </c>
      <c r="Z67" s="108">
        <f>SUM(J67,L67,N67,P67,R67,U67,X67)</f>
        <v>197903.33255374999</v>
      </c>
      <c r="AA67" s="108">
        <f>Z67*10.764</f>
        <v>2130231.4716085647</v>
      </c>
      <c r="AB67" s="242" t="s">
        <v>93</v>
      </c>
      <c r="AC67" s="242"/>
      <c r="AD67" s="242"/>
      <c r="AE67" s="242"/>
      <c r="AF67" s="242"/>
    </row>
    <row r="68" spans="1:32" x14ac:dyDescent="0.25">
      <c r="A68" s="104" t="s">
        <v>66</v>
      </c>
      <c r="B68" s="63">
        <v>42856</v>
      </c>
      <c r="C68" s="19" t="s">
        <v>39</v>
      </c>
      <c r="D68" s="111">
        <f>454+35+56</f>
        <v>545</v>
      </c>
      <c r="E68" s="111">
        <v>17.557989690721648</v>
      </c>
      <c r="F68" s="111">
        <f t="shared" ref="F68:F70" si="1">D68*(100%-$B$65)</f>
        <v>354.25</v>
      </c>
      <c r="G68" s="111">
        <f t="shared" ref="G68:G70" si="2">($D68*$B$65)*30%</f>
        <v>57.225000000000001</v>
      </c>
      <c r="H68" s="111">
        <f t="shared" ref="H68:H69" si="3">($D68*$B$65)*70%</f>
        <v>133.52500000000001</v>
      </c>
      <c r="I68" s="108">
        <v>43021.988668749997</v>
      </c>
      <c r="J68" s="108">
        <f>I68-L68</f>
        <v>27964.292634687499</v>
      </c>
      <c r="K68" s="118">
        <f t="shared" ref="K68:K69" si="4">J68*10.764</f>
        <v>301007.64591977623</v>
      </c>
      <c r="L68" s="108">
        <f t="shared" ref="L68:L69" si="5">I68*$B$65</f>
        <v>15057.696034062497</v>
      </c>
      <c r="M68" s="118">
        <f t="shared" ref="M68" si="6">L68*10.764</f>
        <v>162081.04011064873</v>
      </c>
      <c r="N68" s="108">
        <f>3166+1117+1550+1452+613+658+1262+1151+499</f>
        <v>11468</v>
      </c>
      <c r="O68" s="118">
        <f t="shared" ref="O68:O70" si="7">N68*10.764</f>
        <v>123441.552</v>
      </c>
      <c r="P68" s="108">
        <f>20187+7271+16813</f>
        <v>44271</v>
      </c>
      <c r="Q68" s="118">
        <f t="shared" ref="Q68:Q70" si="8">P68*10.764</f>
        <v>476533.04399999999</v>
      </c>
      <c r="R68" s="108">
        <f>1903+178+220+1846+211</f>
        <v>4358</v>
      </c>
      <c r="S68" s="108"/>
      <c r="T68" s="108"/>
      <c r="U68" s="108">
        <v>0</v>
      </c>
      <c r="V68" s="118">
        <f t="shared" ref="V68:V69" si="9">U68*10.764</f>
        <v>0</v>
      </c>
      <c r="W68" s="118"/>
      <c r="X68" s="112">
        <f t="shared" ref="X68:X70" si="10">120525/4</f>
        <v>30131.25</v>
      </c>
      <c r="Y68" s="184">
        <f t="shared" ref="Y68:Y70" si="11">X68*10.764</f>
        <v>324332.77499999997</v>
      </c>
      <c r="Z68" s="108">
        <f t="shared" ref="Z68:Z70" si="12">SUM(J68,L68,N68,P68,R68,U68,X68)</f>
        <v>133250.23866874998</v>
      </c>
      <c r="AA68" s="108">
        <f t="shared" ref="AA68:AA69" si="13">Z68*10.764</f>
        <v>1434305.5690304248</v>
      </c>
      <c r="AB68" s="242"/>
      <c r="AC68" s="242"/>
      <c r="AD68" s="242"/>
      <c r="AE68" s="242"/>
      <c r="AF68" s="242"/>
    </row>
    <row r="69" spans="1:32" x14ac:dyDescent="0.25">
      <c r="A69" s="105" t="s">
        <v>65</v>
      </c>
      <c r="B69" s="63">
        <v>43709</v>
      </c>
      <c r="C69" s="19" t="s">
        <v>72</v>
      </c>
      <c r="D69" s="111">
        <f>297+6+78+5+182+8+319+143+20</f>
        <v>1058</v>
      </c>
      <c r="E69" s="111">
        <v>34.085051546391746</v>
      </c>
      <c r="F69" s="111">
        <f t="shared" si="1"/>
        <v>687.7</v>
      </c>
      <c r="G69" s="111">
        <f t="shared" si="2"/>
        <v>111.08999999999999</v>
      </c>
      <c r="H69" s="111">
        <f t="shared" si="3"/>
        <v>259.20999999999998</v>
      </c>
      <c r="I69" s="108">
        <v>83517.915617499995</v>
      </c>
      <c r="J69" s="108">
        <f>I69-L69</f>
        <v>54286.645151375</v>
      </c>
      <c r="K69" s="118">
        <f t="shared" si="4"/>
        <v>584341.44840940041</v>
      </c>
      <c r="L69" s="108">
        <f t="shared" si="5"/>
        <v>29231.270466124995</v>
      </c>
      <c r="M69" s="118">
        <f>L69*10.764</f>
        <v>314645.39529736945</v>
      </c>
      <c r="N69" s="108">
        <f>322+88+523+813+169+295+160+1151</f>
        <v>3521</v>
      </c>
      <c r="O69" s="118">
        <f t="shared" si="7"/>
        <v>37900.043999999994</v>
      </c>
      <c r="P69" s="108">
        <v>0</v>
      </c>
      <c r="Q69" s="118">
        <f t="shared" si="8"/>
        <v>0</v>
      </c>
      <c r="R69" s="108">
        <f>277+772+629+742+864+571+401+61</f>
        <v>4317</v>
      </c>
      <c r="S69" s="108"/>
      <c r="T69" s="108"/>
      <c r="U69" s="108">
        <f>2454+201+160</f>
        <v>2815</v>
      </c>
      <c r="V69" s="118">
        <f t="shared" si="9"/>
        <v>30300.66</v>
      </c>
      <c r="W69" s="118"/>
      <c r="X69" s="112">
        <f t="shared" si="10"/>
        <v>30131.25</v>
      </c>
      <c r="Y69" s="184">
        <f t="shared" si="11"/>
        <v>324332.77499999997</v>
      </c>
      <c r="Z69" s="108">
        <f t="shared" si="12"/>
        <v>124302.1656175</v>
      </c>
      <c r="AA69" s="108">
        <f t="shared" si="13"/>
        <v>1337988.5107067698</v>
      </c>
      <c r="AB69" s="242"/>
      <c r="AC69" s="242"/>
      <c r="AD69" s="242"/>
      <c r="AE69" s="242"/>
      <c r="AF69" s="242"/>
    </row>
    <row r="70" spans="1:32" x14ac:dyDescent="0.25">
      <c r="A70" s="106" t="s">
        <v>64</v>
      </c>
      <c r="B70" s="113">
        <v>44531</v>
      </c>
      <c r="C70" s="113" t="s">
        <v>73</v>
      </c>
      <c r="D70" s="114">
        <v>0</v>
      </c>
      <c r="E70" s="111">
        <v>0</v>
      </c>
      <c r="F70" s="111">
        <f t="shared" si="1"/>
        <v>0</v>
      </c>
      <c r="G70" s="111">
        <f t="shared" si="2"/>
        <v>0</v>
      </c>
      <c r="H70" s="111">
        <f t="shared" ref="H70" si="14">D70*0.245</f>
        <v>0</v>
      </c>
      <c r="I70" s="108">
        <v>0</v>
      </c>
      <c r="J70" s="108"/>
      <c r="K70" s="118"/>
      <c r="L70" s="108"/>
      <c r="M70" s="118"/>
      <c r="N70" s="108">
        <f>3107+1759</f>
        <v>4866</v>
      </c>
      <c r="O70" s="118">
        <f t="shared" si="7"/>
        <v>52377.623999999996</v>
      </c>
      <c r="P70" s="108">
        <f>119933+41458</f>
        <v>161391</v>
      </c>
      <c r="Q70" s="118">
        <f t="shared" si="8"/>
        <v>1737212.7239999999</v>
      </c>
      <c r="R70" s="108">
        <v>0</v>
      </c>
      <c r="S70" s="108">
        <v>10833</v>
      </c>
      <c r="T70" s="108">
        <f>S70*10.764</f>
        <v>116606.412</v>
      </c>
      <c r="U70" s="108">
        <v>0</v>
      </c>
      <c r="V70" s="118"/>
      <c r="W70" s="118"/>
      <c r="X70" s="112">
        <f t="shared" si="10"/>
        <v>30131.25</v>
      </c>
      <c r="Y70" s="184">
        <f t="shared" si="11"/>
        <v>324332.77499999997</v>
      </c>
      <c r="Z70" s="108">
        <f t="shared" si="12"/>
        <v>196388.25</v>
      </c>
      <c r="AA70" s="108">
        <f>Z70*10.764</f>
        <v>2113923.1229999997</v>
      </c>
      <c r="AB70" s="242"/>
      <c r="AC70" s="242"/>
      <c r="AD70" s="242"/>
      <c r="AE70" s="242"/>
      <c r="AF70" s="242"/>
    </row>
    <row r="71" spans="1:32" x14ac:dyDescent="0.25">
      <c r="A71" s="5" t="s">
        <v>6</v>
      </c>
      <c r="B71" s="5"/>
      <c r="C71" s="5"/>
      <c r="D71" s="48">
        <f>SUM(D67:D69)</f>
        <v>3104</v>
      </c>
      <c r="E71" s="40"/>
      <c r="F71" s="40"/>
      <c r="G71" s="40"/>
      <c r="H71" s="40"/>
      <c r="I71" s="43">
        <v>245027.98684</v>
      </c>
      <c r="J71" s="185">
        <f>SUM(J67:J70)</f>
        <v>159268.19144600001</v>
      </c>
      <c r="K71" s="185">
        <f t="shared" ref="K71:Y71" si="15">SUM(K67:K70)</f>
        <v>1714362.812724744</v>
      </c>
      <c r="L71" s="185">
        <f t="shared" si="15"/>
        <v>85759.795393999986</v>
      </c>
      <c r="M71" s="185">
        <f t="shared" si="15"/>
        <v>923118.43762101582</v>
      </c>
      <c r="N71" s="185">
        <f>SUM(N67:N70)</f>
        <v>26544</v>
      </c>
      <c r="O71" s="185">
        <f t="shared" si="15"/>
        <v>285719.61599999998</v>
      </c>
      <c r="P71" s="185">
        <f t="shared" si="15"/>
        <v>239156</v>
      </c>
      <c r="Q71" s="185">
        <f t="shared" si="15"/>
        <v>2574275.1839999999</v>
      </c>
      <c r="R71" s="185"/>
      <c r="S71" s="185">
        <f t="shared" si="15"/>
        <v>10833</v>
      </c>
      <c r="T71" s="185">
        <f t="shared" si="15"/>
        <v>116606.412</v>
      </c>
      <c r="U71" s="185">
        <f t="shared" si="15"/>
        <v>4266</v>
      </c>
      <c r="V71" s="185">
        <f t="shared" si="15"/>
        <v>45919.224000000002</v>
      </c>
      <c r="W71" s="185">
        <f t="shared" si="15"/>
        <v>2711</v>
      </c>
      <c r="X71" s="185">
        <f t="shared" si="15"/>
        <v>120525</v>
      </c>
      <c r="Y71" s="185">
        <f t="shared" si="15"/>
        <v>1297331.0999999999</v>
      </c>
      <c r="Z71" s="186">
        <f>SUM(Z67:Z70)</f>
        <v>651843.98683999991</v>
      </c>
      <c r="AA71" s="143">
        <f>SUM(AA67:AA70)</f>
        <v>7016448.6743457597</v>
      </c>
      <c r="AB71" s="242"/>
      <c r="AC71" s="242"/>
      <c r="AD71" s="242"/>
      <c r="AE71" s="242"/>
      <c r="AF71" s="242"/>
    </row>
    <row r="72" spans="1:32" x14ac:dyDescent="0.25">
      <c r="A72" s="37"/>
      <c r="B72" s="46"/>
      <c r="C72" s="56"/>
      <c r="D72" s="32"/>
      <c r="E72" s="32"/>
      <c r="F72" s="32"/>
      <c r="G72" s="32"/>
      <c r="H72" s="32"/>
      <c r="I72" s="32"/>
      <c r="J72" s="32"/>
      <c r="K72" s="32"/>
      <c r="L72" s="32"/>
      <c r="M72" s="49"/>
      <c r="N72" s="49"/>
      <c r="O72" s="39"/>
      <c r="P72" s="32"/>
      <c r="Q72" s="61"/>
      <c r="R72" s="61"/>
      <c r="S72" s="61"/>
      <c r="T72" s="61"/>
      <c r="U72" s="137"/>
      <c r="V72" s="61"/>
      <c r="W72" s="61"/>
    </row>
    <row r="73" spans="1:32" x14ac:dyDescent="0.25">
      <c r="A73" s="121"/>
      <c r="B73" s="121"/>
      <c r="C73" s="121"/>
      <c r="D73" s="121"/>
      <c r="E73" s="121"/>
    </row>
    <row r="74" spans="1:32" x14ac:dyDescent="0.25">
      <c r="A74" s="180" t="s">
        <v>164</v>
      </c>
      <c r="B74" s="121"/>
      <c r="C74" s="121"/>
      <c r="D74" s="121"/>
      <c r="E74" s="121"/>
    </row>
    <row r="75" spans="1:32" x14ac:dyDescent="0.25">
      <c r="A75" s="121"/>
      <c r="B75" s="121"/>
      <c r="C75" s="121"/>
      <c r="D75" s="121"/>
      <c r="E75" s="121"/>
    </row>
    <row r="76" spans="1:32" s="121" customFormat="1" x14ac:dyDescent="0.25">
      <c r="A76" s="1" t="s">
        <v>129</v>
      </c>
      <c r="B76" s="232" t="s">
        <v>158</v>
      </c>
      <c r="C76" s="232"/>
      <c r="D76" s="232"/>
      <c r="E76" s="232"/>
    </row>
    <row r="77" spans="1:32" s="121" customFormat="1" x14ac:dyDescent="0.25">
      <c r="A77" s="1"/>
      <c r="B77" s="192"/>
      <c r="C77" s="192"/>
      <c r="D77" s="192"/>
      <c r="E77" s="192"/>
    </row>
    <row r="78" spans="1:32" s="121" customFormat="1" x14ac:dyDescent="0.25">
      <c r="A78" s="14" t="s">
        <v>20</v>
      </c>
      <c r="B78" s="14" t="s">
        <v>169</v>
      </c>
      <c r="C78" s="14" t="s">
        <v>88</v>
      </c>
    </row>
    <row r="79" spans="1:32" s="121" customFormat="1" x14ac:dyDescent="0.25">
      <c r="A79" s="92" t="s">
        <v>127</v>
      </c>
      <c r="B79" s="191">
        <v>2634</v>
      </c>
      <c r="C79" s="92"/>
    </row>
    <row r="80" spans="1:32" s="121" customFormat="1" x14ac:dyDescent="0.25">
      <c r="A80" s="93" t="s">
        <v>128</v>
      </c>
      <c r="B80" s="191">
        <v>16691</v>
      </c>
      <c r="C80" s="92"/>
    </row>
    <row r="81" spans="1:6" s="121" customFormat="1" x14ac:dyDescent="0.25">
      <c r="A81" s="93" t="s">
        <v>6</v>
      </c>
      <c r="B81" s="166">
        <f>SUM(B79:B80)</f>
        <v>19325</v>
      </c>
      <c r="C81" s="166">
        <f>B81*35</f>
        <v>676375</v>
      </c>
    </row>
    <row r="82" spans="1:6" s="121" customFormat="1" x14ac:dyDescent="0.25">
      <c r="A82" s="128"/>
      <c r="B82" s="129"/>
    </row>
    <row r="83" spans="1:6" s="121" customFormat="1" x14ac:dyDescent="0.25">
      <c r="A83" s="41" t="s">
        <v>130</v>
      </c>
      <c r="B83" s="166"/>
      <c r="C83" s="92"/>
      <c r="D83" s="1"/>
    </row>
    <row r="84" spans="1:6" s="121" customFormat="1" x14ac:dyDescent="0.25">
      <c r="A84" s="93" t="s">
        <v>127</v>
      </c>
      <c r="B84" s="193">
        <f>B92/($B$92+$B$93+$B$94+$B$96+$B$97)</f>
        <v>0.28628562504316218</v>
      </c>
      <c r="C84" s="194">
        <f>$B$81*B84</f>
        <v>5532.4697039591092</v>
      </c>
      <c r="D84" s="131"/>
    </row>
    <row r="85" spans="1:6" s="121" customFormat="1" x14ac:dyDescent="0.25">
      <c r="A85" s="93" t="s">
        <v>135</v>
      </c>
      <c r="B85" s="193">
        <f>B93/($B$92+$B$93+$B$94+$B$96+$B$97)</f>
        <v>0.4298844880525704</v>
      </c>
      <c r="C85" s="194">
        <f t="shared" ref="C85:C88" si="16">$B$81*B85</f>
        <v>8307.5177316159225</v>
      </c>
      <c r="D85" s="131"/>
    </row>
    <row r="86" spans="1:6" s="121" customFormat="1" x14ac:dyDescent="0.25">
      <c r="A86" s="93" t="s">
        <v>137</v>
      </c>
      <c r="B86" s="193">
        <f>B94/($B$92+$B$93+$B$94+$B$96+$B$97)</f>
        <v>4.7713015148553369E-2</v>
      </c>
      <c r="C86" s="194">
        <f t="shared" si="16"/>
        <v>922.05401774579389</v>
      </c>
      <c r="D86" s="131"/>
    </row>
    <row r="87" spans="1:6" s="121" customFormat="1" x14ac:dyDescent="0.25">
      <c r="A87" s="93" t="s">
        <v>136</v>
      </c>
      <c r="B87" s="193">
        <f>B96/($B$92+$B$93+$B$94+$B$96+$B$97)</f>
        <v>1.9472388980721768E-2</v>
      </c>
      <c r="C87" s="194">
        <f t="shared" si="16"/>
        <v>376.30391705244818</v>
      </c>
      <c r="D87" s="131"/>
    </row>
    <row r="88" spans="1:6" s="121" customFormat="1" x14ac:dyDescent="0.25">
      <c r="A88" s="93" t="s">
        <v>138</v>
      </c>
      <c r="B88" s="193">
        <f>B97/($B$92+$B$93+$B$94+$B$96+$B$97)</f>
        <v>0.21664448277499226</v>
      </c>
      <c r="C88" s="194">
        <f t="shared" si="16"/>
        <v>4186.6546296267252</v>
      </c>
      <c r="D88" s="131"/>
    </row>
    <row r="89" spans="1:6" s="121" customFormat="1" x14ac:dyDescent="0.25">
      <c r="A89" s="128"/>
    </row>
    <row r="90" spans="1:6" s="121" customFormat="1" x14ac:dyDescent="0.25">
      <c r="A90" s="15" t="s">
        <v>145</v>
      </c>
      <c r="B90" s="129"/>
    </row>
    <row r="91" spans="1:6" s="121" customFormat="1" x14ac:dyDescent="0.25">
      <c r="A91" s="128"/>
      <c r="B91" s="130"/>
      <c r="C91" s="45"/>
      <c r="D91" s="45"/>
      <c r="E91" s="45"/>
      <c r="F91" s="45"/>
    </row>
    <row r="92" spans="1:6" s="121" customFormat="1" x14ac:dyDescent="0.25">
      <c r="A92" s="93" t="s">
        <v>139</v>
      </c>
      <c r="B92" s="166">
        <f>SUM(J67:J70)</f>
        <v>159268.19144600001</v>
      </c>
      <c r="C92" s="133"/>
      <c r="E92" s="133"/>
      <c r="F92" s="134"/>
    </row>
    <row r="93" spans="1:6" s="121" customFormat="1" x14ac:dyDescent="0.25">
      <c r="A93" s="93" t="s">
        <v>135</v>
      </c>
      <c r="B93" s="166">
        <f>SUM(P67:P70)</f>
        <v>239156</v>
      </c>
      <c r="C93" s="133"/>
      <c r="D93" s="133"/>
      <c r="E93" s="133"/>
      <c r="F93" s="134"/>
    </row>
    <row r="94" spans="1:6" s="121" customFormat="1" x14ac:dyDescent="0.25">
      <c r="A94" s="93" t="s">
        <v>137</v>
      </c>
      <c r="B94" s="166">
        <f>SUM(N67:N70)</f>
        <v>26544</v>
      </c>
      <c r="C94" s="133"/>
      <c r="D94" s="133"/>
      <c r="E94" s="133"/>
      <c r="F94" s="134"/>
    </row>
    <row r="95" spans="1:6" s="121" customFormat="1" x14ac:dyDescent="0.25">
      <c r="A95" s="93" t="s">
        <v>143</v>
      </c>
      <c r="B95" s="166">
        <f>SUM(U67:U70)</f>
        <v>4266</v>
      </c>
      <c r="C95" s="133"/>
      <c r="D95" s="133"/>
      <c r="E95" s="133"/>
      <c r="F95" s="134"/>
    </row>
    <row r="96" spans="1:6" s="121" customFormat="1" x14ac:dyDescent="0.25">
      <c r="A96" s="93" t="s">
        <v>136</v>
      </c>
      <c r="B96" s="166">
        <f>SUM(S67:S70)</f>
        <v>10833</v>
      </c>
      <c r="C96" s="133"/>
      <c r="D96" s="133"/>
      <c r="E96" s="133"/>
      <c r="F96" s="134"/>
    </row>
    <row r="97" spans="1:9" s="121" customFormat="1" x14ac:dyDescent="0.25">
      <c r="A97" s="93" t="s">
        <v>138</v>
      </c>
      <c r="B97" s="166">
        <f>SUM(X67:X70)</f>
        <v>120525</v>
      </c>
      <c r="C97" s="133"/>
      <c r="D97" s="133"/>
      <c r="E97" s="133"/>
      <c r="F97" s="134"/>
    </row>
    <row r="98" spans="1:9" s="121" customFormat="1" x14ac:dyDescent="0.25">
      <c r="A98" s="93" t="s">
        <v>6</v>
      </c>
      <c r="B98" s="166">
        <f>SUM(B92:B97)</f>
        <v>560592.19144600001</v>
      </c>
      <c r="C98" s="135"/>
      <c r="D98" s="135"/>
      <c r="E98" s="135"/>
      <c r="F98" s="134"/>
      <c r="G98" s="99"/>
    </row>
    <row r="99" spans="1:9" s="121" customFormat="1" x14ac:dyDescent="0.25">
      <c r="A99" s="128"/>
      <c r="B99" s="129"/>
      <c r="C99" s="136"/>
      <c r="D99" s="136"/>
      <c r="E99" s="136"/>
      <c r="F99" s="136"/>
    </row>
    <row r="100" spans="1:9" s="121" customFormat="1" x14ac:dyDescent="0.25">
      <c r="A100" s="164" t="s">
        <v>55</v>
      </c>
    </row>
    <row r="101" spans="1:9" s="121" customFormat="1" x14ac:dyDescent="0.25">
      <c r="A101" s="164"/>
    </row>
    <row r="102" spans="1:9" s="121" customFormat="1" ht="15" customHeight="1" x14ac:dyDescent="0.25">
      <c r="A102" s="92"/>
      <c r="B102" s="92"/>
      <c r="C102" s="92"/>
      <c r="D102" s="14"/>
      <c r="E102" s="41" t="s">
        <v>144</v>
      </c>
      <c r="F102" s="224" t="s">
        <v>159</v>
      </c>
      <c r="G102" s="224"/>
      <c r="H102" s="224"/>
    </row>
    <row r="103" spans="1:9" s="121" customFormat="1" ht="15" customHeight="1" x14ac:dyDescent="0.25">
      <c r="A103" s="172" t="s">
        <v>118</v>
      </c>
      <c r="B103" s="173">
        <v>1220</v>
      </c>
      <c r="C103" s="172" t="s">
        <v>112</v>
      </c>
      <c r="D103" s="169">
        <f>B103*B6</f>
        <v>3786880</v>
      </c>
      <c r="E103" s="169"/>
      <c r="F103" s="224"/>
      <c r="G103" s="224"/>
      <c r="H103" s="224"/>
      <c r="I103" s="132"/>
    </row>
    <row r="104" spans="1:9" s="121" customFormat="1" x14ac:dyDescent="0.25">
      <c r="A104" s="172" t="s">
        <v>142</v>
      </c>
      <c r="B104" s="173">
        <f>5</f>
        <v>5</v>
      </c>
      <c r="C104" s="172" t="s">
        <v>113</v>
      </c>
      <c r="D104" s="169">
        <f>(B104*10.764)*(SUM(B93:B94,B96:B97))</f>
        <v>21369661.559999999</v>
      </c>
      <c r="E104" s="169"/>
      <c r="F104" s="224"/>
      <c r="G104" s="224"/>
      <c r="H104" s="224"/>
      <c r="I104" s="129"/>
    </row>
    <row r="105" spans="1:9" s="121" customFormat="1" x14ac:dyDescent="0.25">
      <c r="A105" s="174" t="s">
        <v>114</v>
      </c>
      <c r="B105" s="173"/>
      <c r="C105" s="172"/>
      <c r="D105" s="169">
        <f>SUM(D103:D104)</f>
        <v>25156541.559999999</v>
      </c>
      <c r="E105" s="171">
        <f>D105/4</f>
        <v>6289135.3899999997</v>
      </c>
      <c r="F105" s="224"/>
      <c r="G105" s="224"/>
      <c r="H105" s="224"/>
    </row>
    <row r="106" spans="1:9" s="121" customFormat="1" x14ac:dyDescent="0.25">
      <c r="A106" s="125"/>
      <c r="B106" s="123"/>
      <c r="C106" s="124"/>
      <c r="D106" s="127"/>
      <c r="E106" s="140"/>
      <c r="F106" s="127"/>
      <c r="G106" s="127"/>
      <c r="H106" s="127"/>
    </row>
    <row r="107" spans="1:9" s="121" customFormat="1" x14ac:dyDescent="0.25">
      <c r="A107" s="163" t="s">
        <v>86</v>
      </c>
      <c r="B107" s="123"/>
      <c r="C107" s="124"/>
      <c r="D107" s="127"/>
      <c r="E107" s="128"/>
      <c r="F107" s="128"/>
      <c r="G107" s="128"/>
      <c r="H107" s="128"/>
    </row>
    <row r="108" spans="1:9" s="121" customFormat="1" x14ac:dyDescent="0.25">
      <c r="A108" s="163"/>
      <c r="B108" s="123"/>
      <c r="C108" s="124"/>
      <c r="D108" s="127"/>
      <c r="E108" s="128"/>
      <c r="F108" s="128"/>
      <c r="G108" s="128"/>
      <c r="H108" s="128"/>
    </row>
    <row r="109" spans="1:9" s="121" customFormat="1" x14ac:dyDescent="0.25">
      <c r="A109" s="172" t="s">
        <v>119</v>
      </c>
      <c r="B109" s="173">
        <v>35</v>
      </c>
      <c r="C109" s="172" t="s">
        <v>115</v>
      </c>
      <c r="D109" s="169">
        <f>B109*(B92-C84)</f>
        <v>5380750.2609714316</v>
      </c>
      <c r="E109" s="169"/>
      <c r="F109" s="127"/>
      <c r="G109" s="127"/>
      <c r="H109" s="139"/>
    </row>
    <row r="110" spans="1:9" s="121" customFormat="1" x14ac:dyDescent="0.25">
      <c r="A110" s="172" t="s">
        <v>120</v>
      </c>
      <c r="B110" s="173">
        <v>190</v>
      </c>
      <c r="C110" s="172" t="s">
        <v>115</v>
      </c>
      <c r="D110" s="169">
        <f>$B$110*(B93-$C$85)</f>
        <v>43861211.630992971</v>
      </c>
      <c r="E110" s="169"/>
      <c r="F110" s="127"/>
      <c r="G110" s="127"/>
      <c r="H110" s="139"/>
    </row>
    <row r="111" spans="1:9" s="121" customFormat="1" x14ac:dyDescent="0.25">
      <c r="A111" s="172" t="s">
        <v>121</v>
      </c>
      <c r="B111" s="173">
        <v>121</v>
      </c>
      <c r="C111" s="172" t="s">
        <v>115</v>
      </c>
      <c r="D111" s="169">
        <f>$B$111*(B94-$C$86)</f>
        <v>3100255.463852759</v>
      </c>
      <c r="E111" s="169"/>
      <c r="F111" s="127"/>
      <c r="G111" s="127"/>
      <c r="H111" s="139"/>
    </row>
    <row r="112" spans="1:9" s="121" customFormat="1" x14ac:dyDescent="0.25">
      <c r="A112" s="172" t="s">
        <v>131</v>
      </c>
      <c r="B112" s="173">
        <v>84</v>
      </c>
      <c r="C112" s="172" t="s">
        <v>115</v>
      </c>
      <c r="D112" s="169">
        <f>B112*(B96-C87)</f>
        <v>878362.47096759442</v>
      </c>
      <c r="E112" s="169"/>
      <c r="F112" s="127"/>
      <c r="G112" s="127"/>
      <c r="H112" s="139"/>
    </row>
    <row r="113" spans="1:8" s="121" customFormat="1" x14ac:dyDescent="0.25">
      <c r="A113" s="172" t="s">
        <v>140</v>
      </c>
      <c r="B113" s="173">
        <v>35</v>
      </c>
      <c r="C113" s="172" t="s">
        <v>115</v>
      </c>
      <c r="D113" s="169">
        <f>B113*(B97-C88)</f>
        <v>4071842.0879630647</v>
      </c>
      <c r="E113" s="169"/>
      <c r="F113" s="127"/>
      <c r="G113" s="127"/>
      <c r="H113" s="139"/>
    </row>
    <row r="114" spans="1:8" x14ac:dyDescent="0.25">
      <c r="A114" s="225" t="s">
        <v>122</v>
      </c>
      <c r="B114" s="226"/>
      <c r="C114" s="227"/>
      <c r="D114" s="169">
        <f>SUM(D109:D112)</f>
        <v>53220579.826784752</v>
      </c>
      <c r="E114" s="169"/>
      <c r="F114" s="127"/>
      <c r="G114" s="127"/>
      <c r="H114" s="127"/>
    </row>
    <row r="115" spans="1:8" x14ac:dyDescent="0.25">
      <c r="A115" s="225" t="s">
        <v>116</v>
      </c>
      <c r="B115" s="226"/>
      <c r="C115" s="227"/>
      <c r="D115" s="169">
        <f>-D109</f>
        <v>-5380750.2609714316</v>
      </c>
      <c r="E115" s="169"/>
      <c r="F115" s="127"/>
      <c r="G115" s="127"/>
      <c r="H115" s="139"/>
    </row>
    <row r="116" spans="1:8" x14ac:dyDescent="0.25">
      <c r="A116" s="203" t="s">
        <v>117</v>
      </c>
      <c r="B116" s="204"/>
      <c r="C116" s="205"/>
      <c r="D116" s="169">
        <f>SUM(D114:D115)</f>
        <v>47839829.565813318</v>
      </c>
      <c r="E116" s="171">
        <f>D116/4</f>
        <v>11959957.391453329</v>
      </c>
      <c r="F116" s="127"/>
      <c r="G116" s="127"/>
      <c r="H116" s="127"/>
    </row>
    <row r="117" spans="1:8" x14ac:dyDescent="0.25">
      <c r="A117" s="172"/>
      <c r="B117" s="173"/>
      <c r="C117" s="172"/>
      <c r="D117" s="169"/>
      <c r="E117" s="2"/>
    </row>
    <row r="118" spans="1:8" x14ac:dyDescent="0.25">
      <c r="A118" s="172" t="s">
        <v>123</v>
      </c>
      <c r="B118" s="173">
        <v>200</v>
      </c>
      <c r="C118" s="172" t="s">
        <v>115</v>
      </c>
      <c r="D118" s="169">
        <f>B118*(B92-C84)</f>
        <v>30747144.348408181</v>
      </c>
      <c r="E118" s="2"/>
    </row>
    <row r="119" spans="1:8" x14ac:dyDescent="0.25">
      <c r="A119" s="172" t="s">
        <v>124</v>
      </c>
      <c r="B119" s="173">
        <v>50</v>
      </c>
      <c r="C119" s="172" t="s">
        <v>115</v>
      </c>
      <c r="D119" s="169">
        <f>B119*(B93-C85)</f>
        <v>11542424.113419203</v>
      </c>
      <c r="E119" s="2"/>
    </row>
    <row r="120" spans="1:8" x14ac:dyDescent="0.25">
      <c r="A120" s="172" t="s">
        <v>134</v>
      </c>
      <c r="B120" s="173">
        <v>120</v>
      </c>
      <c r="C120" s="172" t="s">
        <v>115</v>
      </c>
      <c r="D120" s="169">
        <f>B120*(B96-C87)</f>
        <v>1254803.5299537063</v>
      </c>
      <c r="E120" s="2"/>
    </row>
    <row r="121" spans="1:8" x14ac:dyDescent="0.25">
      <c r="A121" s="172" t="s">
        <v>125</v>
      </c>
      <c r="B121" s="168">
        <v>70</v>
      </c>
      <c r="C121" s="172" t="s">
        <v>115</v>
      </c>
      <c r="D121" s="169">
        <f>B121*(B94-C86)</f>
        <v>1793536.2187577942</v>
      </c>
      <c r="E121" s="2"/>
    </row>
    <row r="122" spans="1:8" x14ac:dyDescent="0.25">
      <c r="A122" s="174" t="s">
        <v>126</v>
      </c>
      <c r="B122" s="173"/>
      <c r="C122" s="172"/>
      <c r="D122" s="169">
        <f>SUM(D118:D121)</f>
        <v>45337908.210538879</v>
      </c>
      <c r="E122" s="44">
        <f>D122/4</f>
        <v>11334477.05263472</v>
      </c>
    </row>
  </sheetData>
  <mergeCells count="17">
    <mergeCell ref="A114:C114"/>
    <mergeCell ref="A115:C115"/>
    <mergeCell ref="A116:C116"/>
    <mergeCell ref="F102:H105"/>
    <mergeCell ref="C6:E6"/>
    <mergeCell ref="B8:E8"/>
    <mergeCell ref="A28:G28"/>
    <mergeCell ref="A32:B32"/>
    <mergeCell ref="A24:H24"/>
    <mergeCell ref="A63:D63"/>
    <mergeCell ref="I65:N65"/>
    <mergeCell ref="B76:E76"/>
    <mergeCell ref="AB66:AF66"/>
    <mergeCell ref="A40:B40"/>
    <mergeCell ref="A42:C42"/>
    <mergeCell ref="A44:B44"/>
    <mergeCell ref="AB67:AF71"/>
  </mergeCells>
  <pageMargins left="0.7" right="0.7" top="0.75" bottom="0.75" header="0.3" footer="0.3"/>
  <pageSetup paperSize="8" scale="35" fitToHeight="0" orientation="landscape" r:id="rId1"/>
  <rowBreaks count="1" manualBreakCount="1">
    <brk id="71"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91"/>
  <sheetViews>
    <sheetView tabSelected="1" topLeftCell="A61" zoomScale="75" zoomScaleNormal="75" workbookViewId="0">
      <selection activeCell="A9" sqref="A9"/>
    </sheetView>
  </sheetViews>
  <sheetFormatPr defaultRowHeight="15" x14ac:dyDescent="0.25"/>
  <cols>
    <col min="1" max="1" width="43.140625" customWidth="1"/>
    <col min="2" max="2" width="16.42578125" customWidth="1"/>
    <col min="3" max="3" width="14.28515625" customWidth="1"/>
    <col min="4" max="4" width="18.7109375" customWidth="1"/>
    <col min="5" max="5" width="29.140625" customWidth="1"/>
    <col min="6" max="6" width="16.5703125" customWidth="1"/>
    <col min="7" max="7" width="13.28515625" bestFit="1" customWidth="1"/>
    <col min="8" max="8" width="15.7109375" bestFit="1" customWidth="1"/>
    <col min="10" max="10" width="18.42578125" customWidth="1"/>
    <col min="11" max="11" width="15.28515625" customWidth="1"/>
    <col min="12" max="12" width="14.7109375" customWidth="1"/>
    <col min="13" max="13" width="14.140625" customWidth="1"/>
    <col min="14" max="14" width="15.7109375" bestFit="1" customWidth="1"/>
    <col min="15" max="15" width="13.140625" customWidth="1"/>
    <col min="16" max="16" width="12.28515625" customWidth="1"/>
    <col min="17" max="17" width="13.5703125" customWidth="1"/>
    <col min="18" max="18" width="13.7109375" customWidth="1"/>
    <col min="19" max="19" width="13" customWidth="1"/>
    <col min="20" max="20" width="15.42578125" customWidth="1"/>
    <col min="21" max="21" width="16.140625" customWidth="1"/>
    <col min="22" max="22" width="16.85546875" customWidth="1"/>
  </cols>
  <sheetData>
    <row r="1" spans="1:17" x14ac:dyDescent="0.25">
      <c r="A1" s="9" t="s">
        <v>176</v>
      </c>
    </row>
    <row r="2" spans="1:17" x14ac:dyDescent="0.25">
      <c r="A2" s="202" t="s">
        <v>175</v>
      </c>
    </row>
    <row r="3" spans="1:17" x14ac:dyDescent="0.25">
      <c r="A3" s="202"/>
    </row>
    <row r="4" spans="1:17" x14ac:dyDescent="0.25">
      <c r="A4" s="9" t="s">
        <v>160</v>
      </c>
    </row>
    <row r="5" spans="1:17" x14ac:dyDescent="0.25">
      <c r="A5" s="1"/>
    </row>
    <row r="6" spans="1:17" x14ac:dyDescent="0.25">
      <c r="A6" s="196" t="s">
        <v>27</v>
      </c>
      <c r="B6" s="22">
        <v>800</v>
      </c>
      <c r="C6" s="209" t="s">
        <v>170</v>
      </c>
      <c r="D6" s="209"/>
      <c r="E6" s="209"/>
      <c r="L6" s="13"/>
      <c r="M6" s="13"/>
      <c r="N6" s="13"/>
      <c r="O6" s="13"/>
      <c r="P6" s="13"/>
    </row>
    <row r="7" spans="1:17" x14ac:dyDescent="0.25">
      <c r="A7" s="195"/>
      <c r="B7" s="89"/>
      <c r="C7" s="188"/>
      <c r="D7" s="188"/>
      <c r="E7" s="188"/>
      <c r="H7" s="1" t="s">
        <v>23</v>
      </c>
      <c r="L7" s="13"/>
      <c r="M7" s="199"/>
      <c r="N7" s="13"/>
      <c r="O7" s="13"/>
      <c r="P7" s="13"/>
    </row>
    <row r="8" spans="1:17" ht="30" x14ac:dyDescent="0.25">
      <c r="A8" s="31" t="s">
        <v>25</v>
      </c>
      <c r="B8" s="228" t="s">
        <v>75</v>
      </c>
      <c r="C8" s="228"/>
      <c r="D8" s="228"/>
      <c r="E8" s="228"/>
      <c r="G8" s="13"/>
      <c r="H8" s="11" t="s">
        <v>14</v>
      </c>
      <c r="I8" s="11" t="s">
        <v>15</v>
      </c>
      <c r="J8" s="13"/>
      <c r="K8" s="13"/>
      <c r="L8" s="10"/>
      <c r="M8" s="200"/>
      <c r="N8" s="13"/>
      <c r="O8" s="102"/>
      <c r="P8" s="13"/>
      <c r="Q8" s="13"/>
    </row>
    <row r="9" spans="1:17" ht="15.75" thickBot="1" x14ac:dyDescent="0.3">
      <c r="A9" s="15"/>
      <c r="B9" s="13"/>
      <c r="C9" s="13"/>
      <c r="D9" s="13"/>
      <c r="E9" s="13"/>
      <c r="G9" s="13"/>
      <c r="H9" s="12" t="s">
        <v>12</v>
      </c>
      <c r="I9" s="12">
        <v>43.5</v>
      </c>
      <c r="J9" s="13"/>
      <c r="K9" s="13"/>
      <c r="L9" s="10"/>
      <c r="M9" s="200"/>
      <c r="N9" s="13"/>
      <c r="O9" s="102"/>
      <c r="P9" s="13"/>
      <c r="Q9" s="13"/>
    </row>
    <row r="10" spans="1:17" x14ac:dyDescent="0.25">
      <c r="A10" s="80" t="s">
        <v>51</v>
      </c>
      <c r="B10" s="81"/>
      <c r="C10" s="81"/>
      <c r="D10" s="81"/>
      <c r="E10" s="82"/>
      <c r="G10" s="13"/>
      <c r="H10" s="12" t="s">
        <v>3</v>
      </c>
      <c r="I10" s="12">
        <v>60.33</v>
      </c>
      <c r="J10" s="13"/>
      <c r="K10" s="13"/>
      <c r="L10" s="10"/>
      <c r="M10" s="200"/>
      <c r="N10" s="13"/>
      <c r="O10" s="102"/>
      <c r="P10" s="13"/>
      <c r="Q10" s="13"/>
    </row>
    <row r="11" spans="1:17" x14ac:dyDescent="0.25">
      <c r="A11" s="83" t="s">
        <v>0</v>
      </c>
      <c r="B11" s="16" t="s">
        <v>2</v>
      </c>
      <c r="C11" s="16" t="s">
        <v>3</v>
      </c>
      <c r="D11" s="16" t="s">
        <v>4</v>
      </c>
      <c r="E11" s="84" t="s">
        <v>5</v>
      </c>
      <c r="G11" s="13"/>
      <c r="H11" s="12" t="s">
        <v>4</v>
      </c>
      <c r="I11" s="12">
        <v>85</v>
      </c>
      <c r="J11" s="13"/>
      <c r="K11" s="13"/>
      <c r="L11" s="10"/>
      <c r="M11" s="200"/>
      <c r="N11" s="13"/>
      <c r="O11" s="102"/>
      <c r="P11" s="13"/>
      <c r="Q11" s="13"/>
    </row>
    <row r="12" spans="1:17" x14ac:dyDescent="0.25">
      <c r="A12" s="85" t="s">
        <v>7</v>
      </c>
      <c r="B12" s="6">
        <v>0.5</v>
      </c>
      <c r="C12" s="6">
        <v>0.3</v>
      </c>
      <c r="D12" s="6">
        <v>0.1</v>
      </c>
      <c r="E12" s="7">
        <v>0.1</v>
      </c>
      <c r="G12" s="13"/>
      <c r="H12" s="12" t="s">
        <v>5</v>
      </c>
      <c r="I12" s="12">
        <v>94.5</v>
      </c>
      <c r="J12" s="13"/>
      <c r="K12" s="13"/>
      <c r="L12" s="13"/>
      <c r="M12" s="201"/>
      <c r="N12" s="13"/>
      <c r="O12" s="102"/>
      <c r="P12" s="13"/>
      <c r="Q12" s="13"/>
    </row>
    <row r="13" spans="1:17" x14ac:dyDescent="0.25">
      <c r="A13" s="85" t="s">
        <v>8</v>
      </c>
      <c r="B13" s="6">
        <v>0.25</v>
      </c>
      <c r="C13" s="6">
        <v>0.5</v>
      </c>
      <c r="D13" s="6">
        <v>0.25</v>
      </c>
      <c r="E13" s="7">
        <v>0</v>
      </c>
      <c r="G13" s="13"/>
      <c r="H13" s="13"/>
      <c r="I13" s="13"/>
      <c r="J13" s="13"/>
      <c r="K13" s="13"/>
      <c r="L13" s="13"/>
      <c r="M13" s="13"/>
      <c r="N13" s="13"/>
      <c r="O13" s="13"/>
      <c r="P13" s="13"/>
      <c r="Q13" s="13"/>
    </row>
    <row r="14" spans="1:17" ht="15.75" thickBot="1" x14ac:dyDescent="0.3">
      <c r="A14" s="86" t="s">
        <v>9</v>
      </c>
      <c r="B14" s="87">
        <v>0.3</v>
      </c>
      <c r="C14" s="87">
        <v>0.25</v>
      </c>
      <c r="D14" s="87">
        <v>0.3</v>
      </c>
      <c r="E14" s="8">
        <v>0.15</v>
      </c>
      <c r="G14" s="13"/>
      <c r="H14" s="13"/>
      <c r="I14" s="13"/>
      <c r="J14" s="13"/>
      <c r="K14" s="13"/>
      <c r="M14" s="13"/>
      <c r="N14" s="13"/>
      <c r="O14" s="13"/>
      <c r="P14" s="13"/>
      <c r="Q14" s="13"/>
    </row>
    <row r="15" spans="1:17" x14ac:dyDescent="0.25">
      <c r="A15" s="20"/>
      <c r="B15" s="3"/>
      <c r="C15" s="3"/>
      <c r="D15" s="3"/>
      <c r="E15" s="3"/>
      <c r="G15" s="13"/>
      <c r="H15" s="13"/>
      <c r="I15" s="13"/>
      <c r="J15" s="13"/>
      <c r="K15" s="13"/>
      <c r="M15" s="13"/>
      <c r="N15" s="13"/>
      <c r="O15" s="13"/>
      <c r="P15" s="13"/>
      <c r="Q15" s="13"/>
    </row>
    <row r="16" spans="1:17" x14ac:dyDescent="0.25">
      <c r="A16" s="2" t="s">
        <v>52</v>
      </c>
      <c r="B16" s="149">
        <v>0.35</v>
      </c>
      <c r="C16" s="13"/>
    </row>
    <row r="17" spans="1:9" x14ac:dyDescent="0.25">
      <c r="A17" s="2" t="s">
        <v>26</v>
      </c>
      <c r="B17" s="2" t="s">
        <v>1</v>
      </c>
      <c r="C17" s="2" t="s">
        <v>7</v>
      </c>
      <c r="D17" s="36" t="s">
        <v>8</v>
      </c>
      <c r="E17" s="2" t="s">
        <v>9</v>
      </c>
    </row>
    <row r="18" spans="1:9" x14ac:dyDescent="0.25">
      <c r="A18" s="2" t="s">
        <v>12</v>
      </c>
      <c r="B18" s="2">
        <f>SUM(C18:E18)</f>
        <v>339.8</v>
      </c>
      <c r="C18" s="2">
        <f>($B$22*(100%-$B$16))*B12</f>
        <v>260</v>
      </c>
      <c r="D18" s="2">
        <f>($B$22*($B$16*0.3))*B13</f>
        <v>21</v>
      </c>
      <c r="E18" s="2">
        <f>($B$22*($B$16*0.7))*B14</f>
        <v>58.79999999999999</v>
      </c>
    </row>
    <row r="19" spans="1:9" x14ac:dyDescent="0.25">
      <c r="A19" s="2" t="s">
        <v>3</v>
      </c>
      <c r="B19" s="2">
        <f t="shared" ref="B19:B21" si="0">SUM(C19:E19)</f>
        <v>247</v>
      </c>
      <c r="C19" s="2">
        <f>($B$22*(100%-$B$16))*C12</f>
        <v>156</v>
      </c>
      <c r="D19" s="2">
        <f>($B$22*($B$16*0.3))*C13</f>
        <v>42</v>
      </c>
      <c r="E19" s="2">
        <f>($B$22*($B$16*0.7))*C14</f>
        <v>48.999999999999993</v>
      </c>
    </row>
    <row r="20" spans="1:9" x14ac:dyDescent="0.25">
      <c r="A20" s="2" t="s">
        <v>4</v>
      </c>
      <c r="B20" s="2">
        <f t="shared" si="0"/>
        <v>131.79999999999998</v>
      </c>
      <c r="C20" s="2">
        <f>($B$22*(100%-$B$16))*D12</f>
        <v>52</v>
      </c>
      <c r="D20" s="2">
        <f>($B$22*($B$16*0.3))*D13</f>
        <v>21</v>
      </c>
      <c r="E20" s="2">
        <f>($B$22*($B$16*0.7))*D14</f>
        <v>58.79999999999999</v>
      </c>
    </row>
    <row r="21" spans="1:9" x14ac:dyDescent="0.25">
      <c r="A21" s="2" t="s">
        <v>5</v>
      </c>
      <c r="B21" s="2">
        <f t="shared" si="0"/>
        <v>81.399999999999991</v>
      </c>
      <c r="C21" s="2">
        <f>($B$22*(100%-$B$16))*E12</f>
        <v>52</v>
      </c>
      <c r="D21" s="2">
        <f>($B$22*($B$16*0.3))*E13</f>
        <v>0</v>
      </c>
      <c r="E21" s="2">
        <f>($B$22*($B$16*0.7))*E14</f>
        <v>29.399999999999995</v>
      </c>
    </row>
    <row r="22" spans="1:9" x14ac:dyDescent="0.25">
      <c r="A22" s="2" t="s">
        <v>6</v>
      </c>
      <c r="B22" s="22">
        <v>800</v>
      </c>
      <c r="C22" s="2">
        <f>SUM(C18:C21)</f>
        <v>520</v>
      </c>
      <c r="D22" s="2">
        <f>SUM(D18:D21)</f>
        <v>84</v>
      </c>
      <c r="E22" s="2">
        <f>SUM(E18:E21)</f>
        <v>195.99999999999997</v>
      </c>
    </row>
    <row r="23" spans="1:9" x14ac:dyDescent="0.25">
      <c r="A23" s="13"/>
      <c r="B23" s="89"/>
      <c r="C23" s="13"/>
      <c r="D23" s="13"/>
      <c r="E23" s="13"/>
    </row>
    <row r="24" spans="1:9" x14ac:dyDescent="0.25">
      <c r="A24" s="182" t="s">
        <v>56</v>
      </c>
      <c r="B24" s="53"/>
      <c r="C24" s="53"/>
      <c r="D24" s="53"/>
      <c r="E24" s="53"/>
      <c r="F24" s="53"/>
      <c r="G24" s="53"/>
    </row>
    <row r="25" spans="1:9" x14ac:dyDescent="0.25">
      <c r="A25" s="32"/>
      <c r="B25" s="13"/>
      <c r="C25" s="13"/>
      <c r="D25" s="13"/>
      <c r="E25" s="13"/>
      <c r="G25" s="13"/>
    </row>
    <row r="26" spans="1:9" ht="45" customHeight="1" x14ac:dyDescent="0.25">
      <c r="A26" s="238" t="s">
        <v>173</v>
      </c>
      <c r="B26" s="239"/>
      <c r="C26" s="239"/>
      <c r="D26" s="239"/>
      <c r="E26" s="239"/>
      <c r="F26" s="239"/>
      <c r="G26" s="240"/>
    </row>
    <row r="27" spans="1:9" x14ac:dyDescent="0.25">
      <c r="A27" s="13"/>
      <c r="B27" s="89"/>
      <c r="C27" s="13"/>
      <c r="D27" s="13"/>
      <c r="E27" s="13"/>
    </row>
    <row r="28" spans="1:9" x14ac:dyDescent="0.25">
      <c r="A28" s="15" t="s">
        <v>16</v>
      </c>
      <c r="B28" s="32"/>
    </row>
    <row r="29" spans="1:9" ht="15.75" thickBot="1" x14ac:dyDescent="0.3">
      <c r="A29" s="15"/>
      <c r="B29" s="32"/>
      <c r="I29" s="13"/>
    </row>
    <row r="30" spans="1:9" x14ac:dyDescent="0.25">
      <c r="A30" s="221" t="s">
        <v>76</v>
      </c>
      <c r="B30" s="222"/>
      <c r="D30" s="14" t="s">
        <v>52</v>
      </c>
      <c r="E30" s="197">
        <f>B16</f>
        <v>0.35</v>
      </c>
      <c r="F30" s="2"/>
      <c r="G30" s="2"/>
      <c r="H30" s="2"/>
      <c r="I30" s="13"/>
    </row>
    <row r="31" spans="1:9" x14ac:dyDescent="0.25">
      <c r="A31" s="69"/>
      <c r="B31" s="70"/>
      <c r="D31" s="2" t="s">
        <v>26</v>
      </c>
      <c r="E31" s="2" t="s">
        <v>67</v>
      </c>
      <c r="F31" s="2" t="s">
        <v>7</v>
      </c>
      <c r="G31" s="2" t="s">
        <v>8</v>
      </c>
      <c r="H31" s="2" t="s">
        <v>9</v>
      </c>
      <c r="I31" s="13"/>
    </row>
    <row r="32" spans="1:9" x14ac:dyDescent="0.25">
      <c r="A32" s="71" t="s">
        <v>14</v>
      </c>
      <c r="B32" s="72" t="s">
        <v>15</v>
      </c>
      <c r="D32" s="2" t="s">
        <v>12</v>
      </c>
      <c r="E32" s="2">
        <f>SUM(F32:H32)</f>
        <v>14781.3</v>
      </c>
      <c r="F32" s="2">
        <f>C18*I9</f>
        <v>11310</v>
      </c>
      <c r="G32" s="2">
        <f>D18*I9</f>
        <v>913.5</v>
      </c>
      <c r="H32" s="2">
        <f>E18*I9</f>
        <v>2557.7999999999997</v>
      </c>
      <c r="I32" s="13"/>
    </row>
    <row r="33" spans="1:17" x14ac:dyDescent="0.25">
      <c r="A33" s="73" t="s">
        <v>12</v>
      </c>
      <c r="B33" s="74">
        <v>43.5</v>
      </c>
      <c r="D33" s="2" t="s">
        <v>3</v>
      </c>
      <c r="E33" s="2">
        <f t="shared" ref="E33:E34" si="1">SUM(F33:H33)</f>
        <v>14901.51</v>
      </c>
      <c r="F33" s="2">
        <f>C19*I10</f>
        <v>9411.48</v>
      </c>
      <c r="G33" s="2">
        <f>D19*I10</f>
        <v>2533.86</v>
      </c>
      <c r="H33" s="2">
        <f>E19*I10</f>
        <v>2956.1699999999996</v>
      </c>
      <c r="I33" s="13"/>
    </row>
    <row r="34" spans="1:17" x14ac:dyDescent="0.25">
      <c r="A34" s="73" t="s">
        <v>3</v>
      </c>
      <c r="B34" s="74">
        <v>60.33</v>
      </c>
      <c r="D34" s="2" t="s">
        <v>4</v>
      </c>
      <c r="E34" s="2">
        <f t="shared" si="1"/>
        <v>11203</v>
      </c>
      <c r="F34" s="2">
        <f>C20*I11</f>
        <v>4420</v>
      </c>
      <c r="G34" s="2">
        <f>D20*I11</f>
        <v>1785</v>
      </c>
      <c r="H34" s="2">
        <f>E20*I11</f>
        <v>4997.9999999999991</v>
      </c>
      <c r="I34" s="13"/>
    </row>
    <row r="35" spans="1:17" x14ac:dyDescent="0.25">
      <c r="A35" s="73" t="s">
        <v>4</v>
      </c>
      <c r="B35" s="74">
        <v>85</v>
      </c>
      <c r="D35" s="2" t="s">
        <v>5</v>
      </c>
      <c r="E35" s="2">
        <f>SUM(F35:H35)</f>
        <v>7692.2999999999993</v>
      </c>
      <c r="F35" s="2">
        <f>C21*I12</f>
        <v>4914</v>
      </c>
      <c r="G35" s="2">
        <f>D21*I12</f>
        <v>0</v>
      </c>
      <c r="H35" s="2">
        <f>E21*I12</f>
        <v>2778.2999999999997</v>
      </c>
      <c r="I35" s="13"/>
    </row>
    <row r="36" spans="1:17" ht="15.75" thickBot="1" x14ac:dyDescent="0.3">
      <c r="A36" s="75" t="s">
        <v>5</v>
      </c>
      <c r="B36" s="76">
        <v>94.5</v>
      </c>
      <c r="D36" s="2" t="s">
        <v>6</v>
      </c>
      <c r="E36" s="2">
        <f>SUM(F36:H36)</f>
        <v>48578.109999999993</v>
      </c>
      <c r="F36" s="2">
        <f>SUM(F32:F35)</f>
        <v>30055.48</v>
      </c>
      <c r="G36" s="2">
        <f t="shared" ref="G36:H36" si="2">SUM(G32:G35)</f>
        <v>5232.3600000000006</v>
      </c>
      <c r="H36" s="2">
        <f t="shared" si="2"/>
        <v>13290.269999999997</v>
      </c>
      <c r="I36" s="13"/>
      <c r="J36" s="13"/>
    </row>
    <row r="37" spans="1:17" ht="30" x14ac:dyDescent="0.25">
      <c r="D37" s="51" t="s">
        <v>79</v>
      </c>
      <c r="E37" s="2">
        <f>E36*1.3</f>
        <v>63151.542999999991</v>
      </c>
      <c r="F37" s="2">
        <f t="shared" ref="F37:H37" si="3">F36*1.3</f>
        <v>39072.124000000003</v>
      </c>
      <c r="G37" s="2">
        <f t="shared" si="3"/>
        <v>6802.0680000000011</v>
      </c>
      <c r="H37" s="2">
        <f t="shared" si="3"/>
        <v>17277.350999999995</v>
      </c>
      <c r="I37" s="13"/>
      <c r="J37" s="13"/>
      <c r="K37" s="13"/>
      <c r="L37" s="13"/>
      <c r="M37" s="13"/>
      <c r="N37" s="13"/>
      <c r="O37" s="13"/>
      <c r="P37" s="13"/>
      <c r="Q37" s="13"/>
    </row>
    <row r="38" spans="1:17" x14ac:dyDescent="0.25">
      <c r="D38" s="13"/>
      <c r="E38" s="13"/>
      <c r="F38" s="13"/>
      <c r="G38" s="13"/>
      <c r="H38" s="13"/>
      <c r="I38" s="13"/>
      <c r="J38" s="13"/>
      <c r="K38" s="13"/>
      <c r="L38" s="13"/>
      <c r="M38" s="13"/>
      <c r="N38" s="13"/>
      <c r="O38" s="13"/>
      <c r="P38" s="13"/>
      <c r="Q38" s="13"/>
    </row>
    <row r="39" spans="1:17" x14ac:dyDescent="0.25">
      <c r="A39" s="206" t="s">
        <v>24</v>
      </c>
      <c r="B39" s="206"/>
      <c r="C39" s="18">
        <v>0.7</v>
      </c>
      <c r="D39" s="13"/>
      <c r="E39" s="13"/>
      <c r="F39" s="13"/>
      <c r="G39" s="13"/>
      <c r="H39" s="13"/>
      <c r="I39" s="13"/>
      <c r="J39" s="13"/>
      <c r="K39" s="13"/>
      <c r="L39" s="13"/>
      <c r="M39" s="13"/>
      <c r="N39" s="13"/>
      <c r="O39" s="13"/>
      <c r="P39" s="13"/>
      <c r="Q39" s="13"/>
    </row>
    <row r="40" spans="1:17" x14ac:dyDescent="0.25">
      <c r="A40" s="154"/>
      <c r="B40" s="154"/>
      <c r="C40" s="28"/>
      <c r="D40" s="13"/>
      <c r="E40" s="13"/>
      <c r="F40" s="13"/>
      <c r="G40" s="13"/>
      <c r="H40" s="13"/>
      <c r="I40" s="13"/>
      <c r="J40" s="13"/>
      <c r="K40" s="13"/>
      <c r="L40" s="13"/>
      <c r="M40" s="13"/>
      <c r="N40" s="13"/>
      <c r="O40" s="13"/>
      <c r="P40" s="13"/>
      <c r="Q40" s="13"/>
    </row>
    <row r="41" spans="1:17" x14ac:dyDescent="0.25">
      <c r="A41" s="207" t="s">
        <v>84</v>
      </c>
      <c r="B41" s="208"/>
      <c r="C41" s="28"/>
      <c r="D41" s="13"/>
      <c r="E41" s="13"/>
      <c r="F41" s="13"/>
      <c r="G41" s="13"/>
      <c r="H41" s="13"/>
      <c r="I41" s="13"/>
      <c r="J41" s="13"/>
      <c r="K41" s="13"/>
      <c r="L41" s="13"/>
      <c r="M41" s="13"/>
      <c r="N41" s="13"/>
      <c r="O41" s="13"/>
      <c r="P41" s="13"/>
      <c r="Q41" s="13"/>
    </row>
    <row r="42" spans="1:17" x14ac:dyDescent="0.25">
      <c r="A42" s="151"/>
      <c r="B42" s="151" t="s">
        <v>69</v>
      </c>
      <c r="C42" s="244" t="s">
        <v>62</v>
      </c>
      <c r="D42" s="244"/>
      <c r="E42" s="13"/>
      <c r="F42" s="13"/>
      <c r="G42" s="13"/>
      <c r="H42" s="13"/>
      <c r="I42" s="13"/>
      <c r="J42" s="13"/>
      <c r="K42" s="13"/>
      <c r="L42" s="13"/>
      <c r="M42" s="13"/>
      <c r="N42" s="13"/>
      <c r="O42" s="13"/>
      <c r="P42" s="13"/>
      <c r="Q42" s="13"/>
    </row>
    <row r="43" spans="1:17" x14ac:dyDescent="0.25">
      <c r="A43" s="155" t="s">
        <v>17</v>
      </c>
      <c r="B43" s="158">
        <v>5500</v>
      </c>
      <c r="C43" s="243" t="s">
        <v>172</v>
      </c>
      <c r="D43" s="243"/>
      <c r="E43" s="13" t="s">
        <v>153</v>
      </c>
      <c r="F43" s="13"/>
      <c r="G43" s="13"/>
      <c r="H43" s="13"/>
      <c r="I43" s="13"/>
      <c r="J43" s="13"/>
      <c r="K43" s="13"/>
      <c r="L43" s="13"/>
      <c r="M43" s="13"/>
      <c r="N43" s="13"/>
      <c r="O43" s="13"/>
      <c r="P43" s="13"/>
      <c r="Q43" s="13"/>
    </row>
    <row r="44" spans="1:17" x14ac:dyDescent="0.25">
      <c r="A44" s="155" t="s">
        <v>19</v>
      </c>
      <c r="B44" s="158">
        <v>2250</v>
      </c>
      <c r="C44" s="243" t="s">
        <v>172</v>
      </c>
      <c r="D44" s="243"/>
      <c r="E44" s="13" t="s">
        <v>153</v>
      </c>
      <c r="F44" s="13"/>
      <c r="G44" s="13"/>
      <c r="H44" s="13"/>
      <c r="I44" s="13"/>
      <c r="J44" s="13"/>
      <c r="K44" s="13"/>
      <c r="L44" s="13"/>
      <c r="M44" s="13"/>
      <c r="N44" s="13"/>
      <c r="O44" s="13"/>
      <c r="P44" s="13"/>
      <c r="Q44" s="13"/>
    </row>
    <row r="45" spans="1:17" x14ac:dyDescent="0.25">
      <c r="A45" s="155" t="s">
        <v>59</v>
      </c>
      <c r="B45" s="158">
        <v>500</v>
      </c>
      <c r="C45" s="243" t="s">
        <v>172</v>
      </c>
      <c r="D45" s="243"/>
      <c r="E45" s="13" t="s">
        <v>152</v>
      </c>
      <c r="F45" s="13"/>
      <c r="G45" s="13"/>
      <c r="H45" s="13"/>
      <c r="I45" s="13"/>
      <c r="J45" s="13"/>
      <c r="K45" s="13"/>
      <c r="L45" s="13"/>
      <c r="M45" s="13"/>
      <c r="N45" s="13"/>
      <c r="O45" s="13"/>
      <c r="P45" s="13"/>
      <c r="Q45" s="13"/>
    </row>
    <row r="46" spans="1:17" ht="30" x14ac:dyDescent="0.25">
      <c r="A46" s="155" t="s">
        <v>85</v>
      </c>
      <c r="B46" s="198">
        <f>E37+$B$43+$B$44+$B$45</f>
        <v>71401.542999999991</v>
      </c>
      <c r="C46" s="68"/>
      <c r="D46" s="68"/>
      <c r="E46" s="13"/>
      <c r="F46" s="13"/>
      <c r="G46" s="13"/>
      <c r="H46" s="13"/>
      <c r="I46" s="13"/>
      <c r="J46" s="13"/>
      <c r="K46" s="13"/>
      <c r="L46" s="13"/>
      <c r="M46" s="13"/>
      <c r="N46" s="13"/>
      <c r="O46" s="13"/>
      <c r="P46" s="13"/>
      <c r="Q46" s="13"/>
    </row>
    <row r="47" spans="1:17" x14ac:dyDescent="0.25">
      <c r="A47" s="154"/>
      <c r="B47" s="13"/>
      <c r="C47" s="13"/>
      <c r="D47" s="13"/>
      <c r="E47" s="13"/>
      <c r="F47" s="13"/>
      <c r="G47" s="13"/>
      <c r="H47" s="13"/>
      <c r="I47" s="13"/>
      <c r="J47" s="13"/>
      <c r="K47" s="13"/>
      <c r="L47" s="13"/>
      <c r="M47" s="13"/>
      <c r="N47" s="13"/>
      <c r="O47" s="13"/>
      <c r="P47" s="13"/>
      <c r="Q47" s="13"/>
    </row>
    <row r="48" spans="1:17" x14ac:dyDescent="0.25">
      <c r="A48" s="14" t="s">
        <v>10</v>
      </c>
    </row>
    <row r="49" spans="1:30" x14ac:dyDescent="0.25">
      <c r="A49" s="150" t="s">
        <v>13</v>
      </c>
      <c r="B49" s="150"/>
      <c r="C49" s="1"/>
      <c r="D49" s="1"/>
      <c r="E49" s="1"/>
      <c r="F49" s="1"/>
      <c r="G49" s="1"/>
      <c r="H49" s="1"/>
      <c r="I49" s="1"/>
      <c r="J49" s="153" t="s">
        <v>92</v>
      </c>
      <c r="K49" s="153"/>
      <c r="L49" s="153"/>
      <c r="M49" s="153"/>
      <c r="N49" s="30"/>
      <c r="O49" s="1"/>
      <c r="P49" s="1"/>
    </row>
    <row r="50" spans="1:30" x14ac:dyDescent="0.25">
      <c r="A50" s="14" t="s">
        <v>30</v>
      </c>
      <c r="B50" s="14" t="s">
        <v>31</v>
      </c>
      <c r="C50" s="14" t="s">
        <v>32</v>
      </c>
      <c r="D50" s="14" t="s">
        <v>33</v>
      </c>
      <c r="E50" s="59" t="s">
        <v>60</v>
      </c>
      <c r="F50" s="59" t="s">
        <v>68</v>
      </c>
      <c r="G50" s="59" t="s">
        <v>7</v>
      </c>
      <c r="H50" s="59" t="s">
        <v>8</v>
      </c>
      <c r="I50" s="59" t="s">
        <v>9</v>
      </c>
      <c r="J50" s="26" t="s">
        <v>16</v>
      </c>
      <c r="K50" s="26" t="s">
        <v>146</v>
      </c>
      <c r="L50" s="60" t="s">
        <v>147</v>
      </c>
      <c r="M50" s="60" t="s">
        <v>148</v>
      </c>
      <c r="N50" s="60" t="s">
        <v>149</v>
      </c>
      <c r="O50" s="26" t="s">
        <v>102</v>
      </c>
      <c r="P50" s="59" t="s">
        <v>103</v>
      </c>
      <c r="Q50" s="59" t="s">
        <v>104</v>
      </c>
      <c r="R50" s="59" t="s">
        <v>105</v>
      </c>
      <c r="S50" s="26" t="s">
        <v>150</v>
      </c>
      <c r="T50" s="26" t="s">
        <v>151</v>
      </c>
      <c r="U50" s="26" t="s">
        <v>108</v>
      </c>
      <c r="V50" s="26" t="s">
        <v>109</v>
      </c>
      <c r="W50" s="26" t="s">
        <v>6</v>
      </c>
      <c r="X50" s="217" t="s">
        <v>45</v>
      </c>
      <c r="Y50" s="217"/>
      <c r="Z50" s="217"/>
      <c r="AA50" s="217"/>
      <c r="AB50" s="217"/>
      <c r="AC50" s="217"/>
      <c r="AD50" s="217"/>
    </row>
    <row r="51" spans="1:30" ht="15" customHeight="1" x14ac:dyDescent="0.25">
      <c r="A51" s="14" t="s">
        <v>34</v>
      </c>
      <c r="B51" s="24">
        <v>41760</v>
      </c>
      <c r="C51" s="24">
        <v>42370</v>
      </c>
      <c r="D51" s="4" t="s">
        <v>35</v>
      </c>
      <c r="E51" s="4">
        <v>0</v>
      </c>
      <c r="F51" s="4">
        <v>0</v>
      </c>
      <c r="G51" s="4">
        <v>0</v>
      </c>
      <c r="H51" s="4">
        <v>0</v>
      </c>
      <c r="I51" s="4">
        <v>0</v>
      </c>
      <c r="J51" s="152" t="s">
        <v>44</v>
      </c>
      <c r="K51" s="152"/>
      <c r="L51" s="119"/>
      <c r="M51" s="108"/>
      <c r="N51" s="117"/>
      <c r="O51" s="141"/>
      <c r="P51" s="116"/>
      <c r="Q51" s="108"/>
      <c r="R51" s="115"/>
      <c r="S51" s="25">
        <v>0</v>
      </c>
      <c r="T51" s="144">
        <f>S51*10.764</f>
        <v>0</v>
      </c>
      <c r="U51" s="142">
        <v>0</v>
      </c>
      <c r="V51" s="146"/>
      <c r="W51" s="2">
        <v>0</v>
      </c>
      <c r="X51" s="228" t="s">
        <v>174</v>
      </c>
      <c r="Y51" s="228"/>
      <c r="Z51" s="228"/>
      <c r="AA51" s="228"/>
      <c r="AB51" s="228"/>
      <c r="AC51" s="228"/>
      <c r="AD51" s="228"/>
    </row>
    <row r="52" spans="1:30" x14ac:dyDescent="0.25">
      <c r="A52" s="14" t="s">
        <v>80</v>
      </c>
      <c r="B52" s="24">
        <v>42401</v>
      </c>
      <c r="C52" s="24">
        <v>43647</v>
      </c>
      <c r="D52" s="4" t="s">
        <v>37</v>
      </c>
      <c r="E52" s="90">
        <f>$B$22/4</f>
        <v>200</v>
      </c>
      <c r="F52" s="90">
        <v>25</v>
      </c>
      <c r="G52" s="90">
        <f>$E52*(100%-$B$16)</f>
        <v>130</v>
      </c>
      <c r="H52" s="90">
        <f>$E52*10.5%</f>
        <v>21</v>
      </c>
      <c r="I52" s="90">
        <f>$E52*24.5%</f>
        <v>49</v>
      </c>
      <c r="J52" s="91">
        <f>$E$37*(F52/100)</f>
        <v>15787.885749999998</v>
      </c>
      <c r="K52" s="91">
        <f>$F$37*(F52/100)</f>
        <v>9768.0310000000009</v>
      </c>
      <c r="L52" s="119">
        <f>K52*10.764</f>
        <v>105143.08568400001</v>
      </c>
      <c r="M52" s="108">
        <f>(SUM($G$37:$H$37))*(F52/100)</f>
        <v>6019.8547499999986</v>
      </c>
      <c r="N52" s="117">
        <f>M52*10.764</f>
        <v>64797.716528999983</v>
      </c>
      <c r="O52" s="143">
        <f>($B$43)/4</f>
        <v>1375</v>
      </c>
      <c r="P52" s="116">
        <f>O52*10.764</f>
        <v>14800.5</v>
      </c>
      <c r="Q52" s="108">
        <f>($B$44)/4</f>
        <v>562.5</v>
      </c>
      <c r="R52" s="115">
        <f>Q52*10.764</f>
        <v>6054.75</v>
      </c>
      <c r="S52" s="78">
        <v>0</v>
      </c>
      <c r="T52" s="144">
        <f t="shared" ref="T52:T55" si="4">S52*10.764</f>
        <v>0</v>
      </c>
      <c r="U52" s="143">
        <f>(((100/(SUM($J$56:$S$56))*(SUM(J52:S52)))/100)*(B46*4.39%))</f>
        <v>783.19548606815943</v>
      </c>
      <c r="V52" s="147">
        <f>U52*10.764</f>
        <v>8430.3162120376674</v>
      </c>
      <c r="W52" s="78">
        <f>SUM(J52:U52)</f>
        <v>225092.51919906816</v>
      </c>
      <c r="X52" s="228"/>
      <c r="Y52" s="228"/>
      <c r="Z52" s="228"/>
      <c r="AA52" s="228"/>
      <c r="AB52" s="228"/>
      <c r="AC52" s="228"/>
      <c r="AD52" s="228"/>
    </row>
    <row r="53" spans="1:30" x14ac:dyDescent="0.25">
      <c r="A53" s="14" t="s">
        <v>81</v>
      </c>
      <c r="B53" s="24">
        <v>43586</v>
      </c>
      <c r="C53" s="24">
        <v>45505</v>
      </c>
      <c r="D53" s="4" t="s">
        <v>39</v>
      </c>
      <c r="E53" s="90">
        <f t="shared" ref="E53:E55" si="5">$B$22/4</f>
        <v>200</v>
      </c>
      <c r="F53" s="90">
        <v>25</v>
      </c>
      <c r="G53" s="90">
        <f t="shared" ref="G53:G55" si="6">$E53*(100%-$B$16)</f>
        <v>130</v>
      </c>
      <c r="H53" s="90">
        <f t="shared" ref="H53:H55" si="7">$E53*10.5%</f>
        <v>21</v>
      </c>
      <c r="I53" s="90">
        <f t="shared" ref="I53:I55" si="8">$E53*24.5%</f>
        <v>49</v>
      </c>
      <c r="J53" s="91">
        <f>$E$37*(F53/100)</f>
        <v>15787.885749999998</v>
      </c>
      <c r="K53" s="91">
        <f>$F$37*(F53/100)</f>
        <v>9768.0310000000009</v>
      </c>
      <c r="L53" s="119">
        <f t="shared" ref="L53:L55" si="9">K53*10.764</f>
        <v>105143.08568400001</v>
      </c>
      <c r="M53" s="108">
        <f>(SUM($G$37:$H$37))*(F53/100)</f>
        <v>6019.8547499999986</v>
      </c>
      <c r="N53" s="117">
        <f t="shared" ref="N53:N55" si="10">M53*10.764</f>
        <v>64797.716528999983</v>
      </c>
      <c r="O53" s="143">
        <f t="shared" ref="O53:O55" si="11">($B$43)/4</f>
        <v>1375</v>
      </c>
      <c r="P53" s="116">
        <f t="shared" ref="P53:P55" si="12">O53*10.764</f>
        <v>14800.5</v>
      </c>
      <c r="Q53" s="108">
        <f t="shared" ref="Q53:Q55" si="13">($B$44)/4</f>
        <v>562.5</v>
      </c>
      <c r="R53" s="115">
        <f t="shared" ref="R53:R55" si="14">Q53*10.764</f>
        <v>6054.75</v>
      </c>
      <c r="S53" s="78">
        <f>B45</f>
        <v>500</v>
      </c>
      <c r="T53" s="144">
        <f t="shared" si="4"/>
        <v>5382</v>
      </c>
      <c r="U53" s="143">
        <f>(((100/(SUM($J$56:$S$56))*(SUM(J53:S53)))/100)*(B46*4.39%))</f>
        <v>784.94127949552103</v>
      </c>
      <c r="V53" s="147">
        <f t="shared" ref="V53:V55" si="15">U53*10.764</f>
        <v>8449.1079324897873</v>
      </c>
      <c r="W53" s="78">
        <f>SUM(J53:U53)</f>
        <v>230976.2649924955</v>
      </c>
      <c r="X53" s="228"/>
      <c r="Y53" s="228"/>
      <c r="Z53" s="228"/>
      <c r="AA53" s="228"/>
      <c r="AB53" s="228"/>
      <c r="AC53" s="228"/>
      <c r="AD53" s="228"/>
    </row>
    <row r="54" spans="1:30" x14ac:dyDescent="0.25">
      <c r="A54" s="14" t="s">
        <v>82</v>
      </c>
      <c r="B54" s="24">
        <v>44197</v>
      </c>
      <c r="C54" s="24">
        <v>45292</v>
      </c>
      <c r="D54" s="4" t="s">
        <v>41</v>
      </c>
      <c r="E54" s="90">
        <f t="shared" si="5"/>
        <v>200</v>
      </c>
      <c r="F54" s="90">
        <v>25</v>
      </c>
      <c r="G54" s="90">
        <f t="shared" si="6"/>
        <v>130</v>
      </c>
      <c r="H54" s="90">
        <f t="shared" si="7"/>
        <v>21</v>
      </c>
      <c r="I54" s="90">
        <f t="shared" si="8"/>
        <v>49</v>
      </c>
      <c r="J54" s="91">
        <f>$E$37*(F54/100)</f>
        <v>15787.885749999998</v>
      </c>
      <c r="K54" s="91">
        <f>$F$37*(F54/100)</f>
        <v>9768.0310000000009</v>
      </c>
      <c r="L54" s="119">
        <f t="shared" si="9"/>
        <v>105143.08568400001</v>
      </c>
      <c r="M54" s="108">
        <f>(SUM($G$37:$H$37))*(F54/100)</f>
        <v>6019.8547499999986</v>
      </c>
      <c r="N54" s="117">
        <f t="shared" si="10"/>
        <v>64797.716528999983</v>
      </c>
      <c r="O54" s="143">
        <f t="shared" si="11"/>
        <v>1375</v>
      </c>
      <c r="P54" s="116">
        <f t="shared" si="12"/>
        <v>14800.5</v>
      </c>
      <c r="Q54" s="108">
        <f t="shared" si="13"/>
        <v>562.5</v>
      </c>
      <c r="R54" s="115">
        <f t="shared" si="14"/>
        <v>6054.75</v>
      </c>
      <c r="S54" s="78">
        <v>0</v>
      </c>
      <c r="T54" s="144">
        <f t="shared" si="4"/>
        <v>0</v>
      </c>
      <c r="U54" s="143">
        <f>(((100/(SUM($J$56:$S$56))*(SUM(J54:S54)))/100)*(B46*4.39%))</f>
        <v>783.19548606815943</v>
      </c>
      <c r="V54" s="147">
        <f t="shared" si="15"/>
        <v>8430.3162120376674</v>
      </c>
      <c r="W54" s="78">
        <f>SUM(J54:U54)</f>
        <v>225092.51919906816</v>
      </c>
      <c r="X54" s="228"/>
      <c r="Y54" s="228"/>
      <c r="Z54" s="228"/>
      <c r="AA54" s="228"/>
      <c r="AB54" s="228"/>
      <c r="AC54" s="228"/>
      <c r="AD54" s="228"/>
    </row>
    <row r="55" spans="1:30" x14ac:dyDescent="0.25">
      <c r="A55" s="14" t="s">
        <v>83</v>
      </c>
      <c r="B55" s="24">
        <v>45536</v>
      </c>
      <c r="C55" s="24">
        <v>46753</v>
      </c>
      <c r="D55" s="4" t="s">
        <v>43</v>
      </c>
      <c r="E55" s="90">
        <f t="shared" si="5"/>
        <v>200</v>
      </c>
      <c r="F55" s="90">
        <v>25</v>
      </c>
      <c r="G55" s="90">
        <f t="shared" si="6"/>
        <v>130</v>
      </c>
      <c r="H55" s="90">
        <f t="shared" si="7"/>
        <v>21</v>
      </c>
      <c r="I55" s="90">
        <f t="shared" si="8"/>
        <v>49</v>
      </c>
      <c r="J55" s="91">
        <f>$E$37*(F55/100)</f>
        <v>15787.885749999998</v>
      </c>
      <c r="K55" s="91">
        <f>$F$37*(F55/100)</f>
        <v>9768.0310000000009</v>
      </c>
      <c r="L55" s="119">
        <f t="shared" si="9"/>
        <v>105143.08568400001</v>
      </c>
      <c r="M55" s="108">
        <f>(SUM($G$37:$H$37))*(F55/100)</f>
        <v>6019.8547499999986</v>
      </c>
      <c r="N55" s="117">
        <f t="shared" si="10"/>
        <v>64797.716528999983</v>
      </c>
      <c r="O55" s="143">
        <f t="shared" si="11"/>
        <v>1375</v>
      </c>
      <c r="P55" s="116">
        <f t="shared" si="12"/>
        <v>14800.5</v>
      </c>
      <c r="Q55" s="108">
        <f t="shared" si="13"/>
        <v>562.5</v>
      </c>
      <c r="R55" s="115">
        <f t="shared" si="14"/>
        <v>6054.75</v>
      </c>
      <c r="S55" s="78">
        <v>0</v>
      </c>
      <c r="T55" s="144">
        <f t="shared" si="4"/>
        <v>0</v>
      </c>
      <c r="U55" s="143">
        <f>(((100/(SUM($J$56:$S$56))*(SUM(J55:S55)))/100)*(B46*4.39%))</f>
        <v>783.19548606815943</v>
      </c>
      <c r="V55" s="147">
        <f t="shared" si="15"/>
        <v>8430.3162120376674</v>
      </c>
      <c r="W55" s="78">
        <f>SUM(J55:U55)</f>
        <v>225092.51919906816</v>
      </c>
      <c r="X55" s="228"/>
      <c r="Y55" s="228"/>
      <c r="Z55" s="228"/>
      <c r="AA55" s="228"/>
      <c r="AB55" s="228"/>
      <c r="AC55" s="228"/>
      <c r="AD55" s="228"/>
    </row>
    <row r="56" spans="1:30" x14ac:dyDescent="0.25">
      <c r="J56" s="78">
        <f t="shared" ref="J56:W56" si="16">SUM(J51:J55)</f>
        <v>63151.542999999991</v>
      </c>
      <c r="K56" s="78">
        <f t="shared" si="16"/>
        <v>39072.124000000003</v>
      </c>
      <c r="L56" s="119">
        <f t="shared" si="16"/>
        <v>420572.34273600002</v>
      </c>
      <c r="M56" s="108">
        <f t="shared" si="16"/>
        <v>24079.418999999994</v>
      </c>
      <c r="N56" s="117">
        <f t="shared" si="16"/>
        <v>259190.86611599993</v>
      </c>
      <c r="O56" s="143">
        <f t="shared" si="16"/>
        <v>5500</v>
      </c>
      <c r="P56" s="116">
        <f>SUM(P52:P55)</f>
        <v>59202</v>
      </c>
      <c r="Q56" s="108">
        <f>SUM(Q51:Q55)</f>
        <v>2250</v>
      </c>
      <c r="R56" s="115">
        <f>SUM(R52:R55)</f>
        <v>24219</v>
      </c>
      <c r="S56" s="78">
        <f t="shared" si="16"/>
        <v>500</v>
      </c>
      <c r="T56" s="145">
        <f>SUM(T51:T55)</f>
        <v>5382</v>
      </c>
      <c r="U56" s="143">
        <f t="shared" si="16"/>
        <v>3134.5277376999993</v>
      </c>
      <c r="V56" s="147">
        <f>SUM(V52:V55)</f>
        <v>33740.056568602784</v>
      </c>
      <c r="W56" s="78">
        <f t="shared" si="16"/>
        <v>906253.82258969999</v>
      </c>
      <c r="X56" s="228"/>
      <c r="Y56" s="228"/>
      <c r="Z56" s="228"/>
      <c r="AA56" s="228"/>
      <c r="AB56" s="228"/>
      <c r="AC56" s="228"/>
      <c r="AD56" s="228"/>
    </row>
    <row r="58" spans="1:30" x14ac:dyDescent="0.25">
      <c r="A58" s="45" t="s">
        <v>155</v>
      </c>
      <c r="B58" s="121"/>
      <c r="C58" s="121"/>
      <c r="D58" s="121"/>
      <c r="E58" s="121"/>
    </row>
    <row r="59" spans="1:30" x14ac:dyDescent="0.25">
      <c r="A59" s="121"/>
      <c r="B59" s="121"/>
      <c r="C59" s="121"/>
      <c r="D59" s="121"/>
      <c r="E59" s="121"/>
    </row>
    <row r="60" spans="1:30" x14ac:dyDescent="0.25">
      <c r="A60" s="14" t="s">
        <v>129</v>
      </c>
      <c r="B60" s="232" t="s">
        <v>171</v>
      </c>
      <c r="C60" s="232"/>
      <c r="D60" s="160"/>
      <c r="E60" s="121"/>
    </row>
    <row r="61" spans="1:30" x14ac:dyDescent="0.25">
      <c r="A61" s="1"/>
      <c r="B61" s="192"/>
      <c r="C61" s="192"/>
      <c r="D61" s="160"/>
      <c r="E61" s="121"/>
    </row>
    <row r="62" spans="1:30" x14ac:dyDescent="0.25">
      <c r="A62" s="14" t="s">
        <v>20</v>
      </c>
      <c r="B62" s="14" t="s">
        <v>169</v>
      </c>
      <c r="C62" s="45"/>
      <c r="D62" s="121"/>
      <c r="E62" s="121"/>
    </row>
    <row r="63" spans="1:30" x14ac:dyDescent="0.25">
      <c r="A63" s="92" t="s">
        <v>74</v>
      </c>
      <c r="B63" s="191">
        <v>25677</v>
      </c>
      <c r="C63" s="121"/>
      <c r="D63" s="121"/>
      <c r="E63" s="121"/>
    </row>
    <row r="64" spans="1:30" x14ac:dyDescent="0.25">
      <c r="A64" s="93" t="s">
        <v>6</v>
      </c>
      <c r="B64" s="166">
        <f>SUM(B63:B63)</f>
        <v>25677</v>
      </c>
      <c r="C64" s="129"/>
      <c r="D64" s="121"/>
      <c r="E64" s="121"/>
    </row>
    <row r="65" spans="1:5" x14ac:dyDescent="0.25">
      <c r="A65" s="128"/>
      <c r="B65" s="129"/>
      <c r="C65" s="121"/>
      <c r="D65" s="121"/>
      <c r="E65" s="121"/>
    </row>
    <row r="66" spans="1:5" x14ac:dyDescent="0.25">
      <c r="A66" s="41" t="s">
        <v>130</v>
      </c>
      <c r="B66" s="166"/>
      <c r="C66" s="92"/>
      <c r="D66" s="1"/>
      <c r="E66" s="121"/>
    </row>
    <row r="67" spans="1:5" x14ac:dyDescent="0.25">
      <c r="A67" s="93" t="s">
        <v>127</v>
      </c>
      <c r="B67" s="193">
        <f>B75/$B$80</f>
        <v>0.57068619932617604</v>
      </c>
      <c r="C67" s="194">
        <f>B$64*B67</f>
        <v>14653.509540098223</v>
      </c>
      <c r="D67" s="131"/>
      <c r="E67" s="121"/>
    </row>
    <row r="68" spans="1:5" x14ac:dyDescent="0.25">
      <c r="A68" s="93" t="s">
        <v>135</v>
      </c>
      <c r="B68" s="193">
        <f t="shared" ref="B68:B71" si="17">B76/$B$80</f>
        <v>2.3004399861618147E-2</v>
      </c>
      <c r="C68" s="194">
        <f>B$64*B68</f>
        <v>590.68397524676914</v>
      </c>
      <c r="D68" s="131"/>
      <c r="E68" s="121"/>
    </row>
    <row r="69" spans="1:5" x14ac:dyDescent="0.25">
      <c r="A69" s="93" t="s">
        <v>137</v>
      </c>
      <c r="B69" s="193">
        <f t="shared" si="17"/>
        <v>5.6232977439511028E-2</v>
      </c>
      <c r="C69" s="194">
        <f t="shared" ref="C69:C71" si="18">B$64*B69</f>
        <v>1443.8941617143246</v>
      </c>
      <c r="D69" s="131"/>
      <c r="E69" s="121"/>
    </row>
    <row r="70" spans="1:5" x14ac:dyDescent="0.25">
      <c r="A70" s="93" t="s">
        <v>59</v>
      </c>
      <c r="B70" s="193">
        <f t="shared" si="17"/>
        <v>5.1120888581373657E-3</v>
      </c>
      <c r="C70" s="194">
        <f t="shared" si="18"/>
        <v>131.26310561039313</v>
      </c>
      <c r="D70" s="131"/>
      <c r="E70" s="121"/>
    </row>
    <row r="71" spans="1:5" x14ac:dyDescent="0.25">
      <c r="A71" s="93" t="s">
        <v>138</v>
      </c>
      <c r="B71" s="193">
        <f t="shared" si="17"/>
        <v>0.34496433451455749</v>
      </c>
      <c r="C71" s="194">
        <f t="shared" si="18"/>
        <v>8857.6492173302922</v>
      </c>
      <c r="D71" s="131"/>
      <c r="E71" s="121"/>
    </row>
    <row r="72" spans="1:5" x14ac:dyDescent="0.25">
      <c r="A72" s="128"/>
      <c r="B72" s="121"/>
      <c r="C72" s="121"/>
      <c r="D72" s="121"/>
      <c r="E72" s="121"/>
    </row>
    <row r="73" spans="1:5" x14ac:dyDescent="0.25">
      <c r="A73" s="15" t="s">
        <v>145</v>
      </c>
      <c r="B73" s="129"/>
      <c r="C73" s="121"/>
      <c r="D73" s="121"/>
      <c r="E73" s="121"/>
    </row>
    <row r="74" spans="1:5" x14ac:dyDescent="0.25">
      <c r="A74" s="128"/>
      <c r="B74" s="130"/>
      <c r="C74" s="45"/>
      <c r="D74" s="45"/>
      <c r="E74" s="45"/>
    </row>
    <row r="75" spans="1:5" x14ac:dyDescent="0.25">
      <c r="A75" s="93" t="s">
        <v>127</v>
      </c>
      <c r="B75" s="166">
        <f>SUM(K52:K55)/0.7</f>
        <v>55817.320000000007</v>
      </c>
      <c r="C75" s="133"/>
      <c r="D75" s="121"/>
      <c r="E75" s="133"/>
    </row>
    <row r="76" spans="1:5" x14ac:dyDescent="0.25">
      <c r="A76" s="93" t="s">
        <v>135</v>
      </c>
      <c r="B76" s="166">
        <f>SUM(Q52:Q55)</f>
        <v>2250</v>
      </c>
      <c r="C76" s="133"/>
      <c r="D76" s="133"/>
      <c r="E76" s="133"/>
    </row>
    <row r="77" spans="1:5" x14ac:dyDescent="0.25">
      <c r="A77" s="93" t="s">
        <v>137</v>
      </c>
      <c r="B77" s="166">
        <f>SUM(O52:O55)</f>
        <v>5500</v>
      </c>
      <c r="C77" s="133"/>
      <c r="D77" s="133"/>
      <c r="E77" s="133"/>
    </row>
    <row r="78" spans="1:5" x14ac:dyDescent="0.25">
      <c r="A78" s="93" t="s">
        <v>59</v>
      </c>
      <c r="B78" s="166">
        <f>SUM(S52:S55)</f>
        <v>500</v>
      </c>
      <c r="C78" s="133"/>
      <c r="D78" s="133"/>
      <c r="E78" s="133"/>
    </row>
    <row r="79" spans="1:5" x14ac:dyDescent="0.25">
      <c r="A79" s="93" t="s">
        <v>138</v>
      </c>
      <c r="B79" s="166">
        <f>SUM(V52:V55)</f>
        <v>33740.056568602784</v>
      </c>
      <c r="C79" s="133"/>
      <c r="D79" s="133"/>
      <c r="E79" s="133"/>
    </row>
    <row r="80" spans="1:5" x14ac:dyDescent="0.25">
      <c r="A80" s="93" t="s">
        <v>6</v>
      </c>
      <c r="B80" s="166">
        <f>SUM(B75:B79)</f>
        <v>97807.376568602791</v>
      </c>
      <c r="C80" s="135"/>
      <c r="D80" s="135"/>
      <c r="E80" s="135"/>
    </row>
    <row r="81" spans="1:8" x14ac:dyDescent="0.25">
      <c r="A81" s="128"/>
      <c r="B81" s="129"/>
      <c r="C81" s="136"/>
      <c r="D81" s="136"/>
      <c r="E81" s="136"/>
    </row>
    <row r="82" spans="1:8" x14ac:dyDescent="0.25">
      <c r="A82" s="121"/>
      <c r="B82" s="121"/>
      <c r="C82" s="121"/>
      <c r="D82" s="121"/>
      <c r="E82" s="121"/>
    </row>
    <row r="83" spans="1:8" ht="15" customHeight="1" x14ac:dyDescent="0.25">
      <c r="A83" s="92"/>
      <c r="B83" s="92"/>
      <c r="C83" s="92"/>
      <c r="D83" s="14"/>
      <c r="E83" s="41" t="s">
        <v>144</v>
      </c>
      <c r="F83" s="224" t="s">
        <v>159</v>
      </c>
      <c r="G83" s="224"/>
      <c r="H83" s="224"/>
    </row>
    <row r="84" spans="1:8" x14ac:dyDescent="0.25">
      <c r="A84" s="172" t="s">
        <v>118</v>
      </c>
      <c r="B84" s="173">
        <v>1220</v>
      </c>
      <c r="C84" s="172" t="s">
        <v>112</v>
      </c>
      <c r="D84" s="169">
        <f>B84*B22</f>
        <v>976000</v>
      </c>
      <c r="E84" s="169"/>
      <c r="F84" s="224"/>
      <c r="G84" s="224"/>
      <c r="H84" s="224"/>
    </row>
    <row r="85" spans="1:8" x14ac:dyDescent="0.25">
      <c r="A85" s="172" t="s">
        <v>142</v>
      </c>
      <c r="B85" s="173">
        <f>5</f>
        <v>5</v>
      </c>
      <c r="C85" s="172" t="s">
        <v>113</v>
      </c>
      <c r="D85" s="169">
        <f>(B85*10.764)*(SUM(B76:B79))</f>
        <v>2259904.8445222015</v>
      </c>
      <c r="E85" s="169"/>
      <c r="F85" s="224"/>
      <c r="G85" s="224"/>
      <c r="H85" s="224"/>
    </row>
    <row r="86" spans="1:8" x14ac:dyDescent="0.25">
      <c r="A86" s="174" t="s">
        <v>114</v>
      </c>
      <c r="B86" s="173"/>
      <c r="C86" s="172"/>
      <c r="D86" s="169">
        <f>SUM(D84:D85)</f>
        <v>3235904.8445222015</v>
      </c>
      <c r="E86" s="171">
        <f>D86/4</f>
        <v>808976.21113055036</v>
      </c>
      <c r="F86" s="224"/>
      <c r="G86" s="224"/>
      <c r="H86" s="224"/>
    </row>
    <row r="87" spans="1:8" x14ac:dyDescent="0.25">
      <c r="A87" s="172"/>
      <c r="B87" s="173"/>
      <c r="C87" s="172"/>
      <c r="D87" s="169"/>
      <c r="E87" s="93"/>
    </row>
    <row r="88" spans="1:8" x14ac:dyDescent="0.25">
      <c r="A88" s="172" t="s">
        <v>156</v>
      </c>
      <c r="B88" s="173">
        <v>35</v>
      </c>
      <c r="C88" s="172" t="s">
        <v>115</v>
      </c>
      <c r="D88" s="169">
        <f>B88*(B80-B64)</f>
        <v>2524563.1799010979</v>
      </c>
      <c r="E88" s="171">
        <f>D88/4</f>
        <v>631140.79497527448</v>
      </c>
    </row>
    <row r="89" spans="1:8" x14ac:dyDescent="0.25">
      <c r="A89" s="172"/>
      <c r="B89" s="173"/>
      <c r="C89" s="172"/>
      <c r="D89" s="169"/>
      <c r="E89" s="2"/>
    </row>
    <row r="90" spans="1:8" x14ac:dyDescent="0.25">
      <c r="A90" s="172" t="s">
        <v>123</v>
      </c>
      <c r="B90" s="173">
        <v>200</v>
      </c>
      <c r="C90" s="172" t="s">
        <v>115</v>
      </c>
      <c r="D90" s="169">
        <f>B90*(B75-C67)</f>
        <v>8232762.0919803567</v>
      </c>
      <c r="E90" s="2"/>
    </row>
    <row r="91" spans="1:8" x14ac:dyDescent="0.25">
      <c r="A91" s="174" t="s">
        <v>126</v>
      </c>
      <c r="B91" s="173"/>
      <c r="C91" s="172"/>
      <c r="D91" s="169">
        <f>SUM(D90:D90)</f>
        <v>8232762.0919803567</v>
      </c>
      <c r="E91" s="44">
        <f>D91/4</f>
        <v>2058190.5229950892</v>
      </c>
    </row>
  </sheetData>
  <mergeCells count="14">
    <mergeCell ref="C6:E6"/>
    <mergeCell ref="B8:E8"/>
    <mergeCell ref="A26:G26"/>
    <mergeCell ref="A30:B30"/>
    <mergeCell ref="B60:C60"/>
    <mergeCell ref="X50:AD50"/>
    <mergeCell ref="X51:AD56"/>
    <mergeCell ref="F83:H86"/>
    <mergeCell ref="C45:D45"/>
    <mergeCell ref="A39:B39"/>
    <mergeCell ref="A41:B41"/>
    <mergeCell ref="C42:D42"/>
    <mergeCell ref="C43:D43"/>
    <mergeCell ref="C44:D44"/>
  </mergeCells>
  <pageMargins left="0.7" right="0.7" top="0.75" bottom="0.75" header="0.3" footer="0.3"/>
  <pageSetup paperSize="8" scale="6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Bishopsgate Goods Yard</vt:lpstr>
      <vt:lpstr>Wood Wharf </vt:lpstr>
      <vt:lpstr>Westferry Printworks</vt:lpstr>
    </vt:vector>
  </TitlesOfParts>
  <Company>London Borough Of TowerHamlets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Ward</dc:creator>
  <cp:lastModifiedBy>Joseph Ward</cp:lastModifiedBy>
  <cp:lastPrinted>2014-07-14T21:46:32Z</cp:lastPrinted>
  <dcterms:created xsi:type="dcterms:W3CDTF">2014-06-05T08:59:38Z</dcterms:created>
  <dcterms:modified xsi:type="dcterms:W3CDTF">2014-08-05T12:06:34Z</dcterms:modified>
</cp:coreProperties>
</file>